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L184" i="1" l="1"/>
  <c r="I185" i="1"/>
  <c r="H185" i="1"/>
  <c r="H184" i="1"/>
  <c r="G174" i="1"/>
  <c r="L166" i="1" l="1"/>
  <c r="G167" i="1"/>
  <c r="I166" i="1"/>
  <c r="G156" i="1"/>
  <c r="J149" i="1"/>
  <c r="G149" i="1"/>
  <c r="J148" i="1"/>
  <c r="I148" i="1"/>
  <c r="G139" i="1"/>
  <c r="L120" i="1" l="1"/>
  <c r="G130" i="1"/>
  <c r="I112" i="1"/>
  <c r="L95" i="1"/>
  <c r="G96" i="1"/>
  <c r="L78" i="1"/>
  <c r="L48" i="1" l="1"/>
  <c r="I58" i="1"/>
  <c r="J40" i="1"/>
  <c r="L39" i="1"/>
  <c r="L12" i="1" l="1"/>
  <c r="L130" i="1" l="1"/>
  <c r="J47" i="1"/>
  <c r="I47" i="1"/>
  <c r="H47" i="1"/>
  <c r="G47" i="1"/>
  <c r="J171" i="1" l="1"/>
  <c r="H171" i="1"/>
  <c r="G171" i="1"/>
  <c r="L139" i="1"/>
  <c r="L131" i="1"/>
  <c r="L77" i="1"/>
  <c r="L67" i="1"/>
  <c r="I64" i="1"/>
  <c r="H64" i="1"/>
  <c r="G64" i="1"/>
  <c r="G42" i="1"/>
  <c r="H42" i="1"/>
  <c r="I42" i="1"/>
  <c r="J42" i="1"/>
  <c r="J33" i="1"/>
  <c r="I33" i="1"/>
  <c r="H33" i="1"/>
  <c r="G33" i="1"/>
  <c r="J31" i="1" l="1"/>
  <c r="I31" i="1"/>
  <c r="H31" i="1"/>
  <c r="G31" i="1"/>
  <c r="L22" i="1" l="1"/>
  <c r="L174" i="1" l="1"/>
  <c r="I171" i="1"/>
  <c r="G169" i="1"/>
  <c r="J157" i="1"/>
  <c r="I157" i="1"/>
  <c r="H157" i="1"/>
  <c r="G157" i="1"/>
  <c r="L156" i="1"/>
  <c r="L148" i="1"/>
  <c r="J14" i="1"/>
  <c r="I14" i="1"/>
  <c r="H14" i="1"/>
  <c r="G14" i="1"/>
  <c r="H158" i="1" l="1"/>
  <c r="J158" i="1"/>
  <c r="I158" i="1"/>
  <c r="G158" i="1"/>
  <c r="L112" i="1"/>
  <c r="L58" i="1"/>
  <c r="L30" i="1"/>
  <c r="G132" i="1" l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J64" i="1"/>
  <c r="H139" i="1" l="1"/>
  <c r="L85" i="1"/>
  <c r="G32" i="1" l="1"/>
  <c r="G35" i="1"/>
  <c r="G36" i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G58" i="1" s="1"/>
  <c r="J43" i="1"/>
  <c r="G43" i="1"/>
  <c r="J32" i="1"/>
  <c r="H32" i="1"/>
  <c r="J26" i="1"/>
  <c r="J25" i="1"/>
  <c r="H25" i="1"/>
  <c r="I13" i="1" l="1"/>
  <c r="I15" i="1"/>
  <c r="H15" i="1"/>
  <c r="J16" i="1"/>
  <c r="G16" i="1"/>
  <c r="G6" i="1"/>
  <c r="H122" i="1" l="1"/>
  <c r="G122" i="1"/>
  <c r="G69" i="1"/>
  <c r="H69" i="1"/>
  <c r="I50" i="1"/>
  <c r="H50" i="1"/>
  <c r="G50" i="1"/>
  <c r="I32" i="1"/>
  <c r="I24" i="1"/>
  <c r="J146" i="1" l="1"/>
  <c r="L103" i="1"/>
  <c r="F48" i="1" l="1"/>
  <c r="L23" i="1" l="1"/>
  <c r="G177" i="1" l="1"/>
  <c r="J172" i="1"/>
  <c r="I172" i="1"/>
  <c r="H172" i="1"/>
  <c r="G172" i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H58" i="1" s="1"/>
  <c r="G54" i="1"/>
  <c r="H46" i="1"/>
  <c r="J35" i="1" l="1"/>
  <c r="I35" i="1"/>
  <c r="H35" i="1"/>
  <c r="J34" i="1"/>
  <c r="I34" i="1"/>
  <c r="H34" i="1"/>
  <c r="G34" i="1" s="1"/>
  <c r="H24" i="1"/>
  <c r="G24" i="1"/>
  <c r="F12" i="1"/>
  <c r="J10" i="1"/>
  <c r="I10" i="1"/>
  <c r="H10" i="1"/>
  <c r="G10" i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J159" i="1" l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I156" i="1" s="1"/>
  <c r="J154" i="1"/>
  <c r="I141" i="1"/>
  <c r="H141" i="1"/>
  <c r="G141" i="1"/>
  <c r="J140" i="1"/>
  <c r="I143" i="1"/>
  <c r="G143" i="1"/>
  <c r="I146" i="1"/>
  <c r="H146" i="1"/>
  <c r="G146" i="1"/>
  <c r="J145" i="1"/>
  <c r="I145" i="1"/>
  <c r="H145" i="1"/>
  <c r="H148" i="1" s="1"/>
  <c r="H149" i="1" s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G95" i="1" s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25" i="1" l="1"/>
  <c r="G25" i="1"/>
  <c r="J24" i="1"/>
  <c r="J30" i="1" s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G22" i="1" s="1"/>
  <c r="G30" i="1" l="1"/>
  <c r="F184" i="1"/>
  <c r="J181" i="1"/>
  <c r="I181" i="1"/>
  <c r="H181" i="1"/>
  <c r="G181" i="1"/>
  <c r="J180" i="1"/>
  <c r="I180" i="1"/>
  <c r="I184" i="1" s="1"/>
  <c r="H180" i="1"/>
  <c r="G180" i="1"/>
  <c r="G184" i="1" s="1"/>
  <c r="G185" i="1" s="1"/>
  <c r="J178" i="1"/>
  <c r="I178" i="1"/>
  <c r="I177" i="1"/>
  <c r="H177" i="1"/>
  <c r="F174" i="1"/>
  <c r="J174" i="1"/>
  <c r="I169" i="1"/>
  <c r="I174" i="1" s="1"/>
  <c r="H169" i="1"/>
  <c r="H174" i="1" s="1"/>
  <c r="L167" i="1"/>
  <c r="F166" i="1"/>
  <c r="F167" i="1" s="1"/>
  <c r="G166" i="1"/>
  <c r="B149" i="1"/>
  <c r="A149" i="1"/>
  <c r="F148" i="1"/>
  <c r="G148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G48" i="1" s="1"/>
  <c r="I43" i="1"/>
  <c r="H43" i="1"/>
  <c r="B40" i="1"/>
  <c r="A40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31" i="1" l="1"/>
  <c r="J96" i="1"/>
  <c r="G59" i="1"/>
  <c r="G112" i="1"/>
  <c r="G113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I131" i="1"/>
  <c r="J48" i="1"/>
  <c r="I167" i="1"/>
  <c r="F40" i="1"/>
  <c r="I39" i="1"/>
  <c r="I40" i="1" s="1"/>
  <c r="I139" i="1"/>
  <c r="I149" i="1" s="1"/>
  <c r="H166" i="1"/>
  <c r="H167" i="1" s="1"/>
  <c r="J166" i="1"/>
  <c r="J167" i="1" s="1"/>
  <c r="J58" i="1"/>
  <c r="J139" i="1"/>
  <c r="F149" i="1"/>
  <c r="L149" i="1"/>
  <c r="J131" i="1"/>
  <c r="J23" i="1"/>
  <c r="F78" i="1"/>
  <c r="G77" i="1"/>
  <c r="G78" i="1" s="1"/>
  <c r="I77" i="1"/>
  <c r="I78" i="1" s="1"/>
  <c r="H131" i="1"/>
  <c r="H77" i="1"/>
  <c r="H78" i="1" s="1"/>
  <c r="J77" i="1"/>
  <c r="J78" i="1" s="1"/>
  <c r="F59" i="1"/>
  <c r="H96" i="1"/>
  <c r="L96" i="1"/>
  <c r="F96" i="1"/>
  <c r="I95" i="1"/>
  <c r="I96" i="1" s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<sst xmlns="http://schemas.openxmlformats.org/spreadsheetml/2006/main" count="406" uniqueCount="160">
  <si>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</si>
  <si>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</si>
  <si>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</si>
  <si>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</si>
  <si>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</si>
  <si>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</si>
  <si>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</si>
  <si>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</si>
  <si>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</si>
  <si>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</si>
  <si>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</si>
  <si>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</si>
  <si>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</si>
  <si>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</si>
  <si>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</si>
  <si>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</si>
  <si>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</si>
  <si>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</si>
  <si>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</si>
  <si>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</si>
  <si>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</si>
  <si>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</si>
  <si>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</si>
  <si>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</si>
  <si>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</si>
  <si>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</si>
  <si>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</si>
  <si>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</si>
  <si>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</si>
  <si>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</si>
  <si>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</si>
  <si>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</si>
  <si>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</si>
  <si>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</si>
  <si>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</si>
  <si>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</si>
  <si>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</si>
  <si>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</si>
  <si>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</si>
  <si>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</si>
  <si>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</si>
  <si>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</si>
  <si>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</si>
  <si>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</si>
  <si>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</si>
  <si>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</si>
  <si>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</si>
  <si>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</si>
  <si>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</si>
  <si>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</si>
  <si>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</si>
  <si>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</si>
  <si>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</si>
  <si>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</si>
  <si>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</si>
  <si>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</si>
  <si>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</si>
  <si>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</si>
  <si>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</si>
  <si>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</si>
  <si>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</si>
  <si>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</si>
  <si>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</si>
  <si>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</si>
  <si>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</si>
  <si>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</si>
  <si>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</si>
  <si>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</si>
  <si>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</si>
  <si>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</si>
  <si>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</si>
  <si>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</si>
  <si>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</si>
  <si>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</si>
  <si>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</si>
  <si>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</si>
  <si>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</si>
  <si>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</si>
  <si>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</si>
  <si>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</si>
  <si>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</si>
  <si>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</si>
  <si>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</si>
  <si>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</si>
  <si>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</si>
  <si>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</si>
  <si>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</si>
  <si>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</si>
  <si>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</si>
  <si>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</si>
  <si>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</si>
  <si>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</si>
  <si>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</si>
  <si>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</si>
  <si>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</si>
  <si>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</si>
  <si>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</si>
  <si>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</si>
  <si>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</si>
  <si>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</si>
  <si>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</si>
  <si>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</si>
  <si>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</si>
  <si>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</si>
  <si>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</si>
  <si>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</si>
  <si>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</si>
  <si>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</si>
  <si>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</si>
  <si>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</si>
  <si>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</si>
  <si>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</si>
  <si>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</si>
  <si>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</si>
  <si>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</si>
  <si>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</si>
  <si>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</si>
  <si>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</si>
  <si>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</si>
  <si>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</si>
  <si>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Рис припущенный</t>
  </si>
  <si>
    <t>Компот из кураги и изюма</t>
  </si>
  <si>
    <t>305</t>
  </si>
  <si>
    <t>44510</t>
  </si>
  <si>
    <t>44417</t>
  </si>
  <si>
    <t>Салат из отварной свеклы с сыром и растительным маслом</t>
  </si>
  <si>
    <t>40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</si>
  <si>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</si>
  <si>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</si>
  <si>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</si>
  <si>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</si>
  <si>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</si>
  <si>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</si>
  <si>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</si>
  <si>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</si>
  <si>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</si>
  <si>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</si>
  <si>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</si>
  <si>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</si>
  <si>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</si>
  <si>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</si>
  <si>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</si>
  <si>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Суп-пюре картофельный с мясом, зеленью</t>
  </si>
  <si>
    <t>Зеленый горошек конс. с растительным маслом</t>
  </si>
  <si>
    <t>Биточки мясные паровые</t>
  </si>
  <si>
    <t>32.1</t>
  </si>
  <si>
    <t>445</t>
  </si>
  <si>
    <t>Салат из помидор с зеленью и растительным маслом</t>
  </si>
  <si>
    <t>20/1</t>
  </si>
  <si>
    <t>Кисель</t>
  </si>
  <si>
    <t>Рассольник с крупой,  сметаной, мясом и зеленью</t>
  </si>
  <si>
    <t>Салат из отварной свеклы с солеными огурцами и растительным маслом</t>
  </si>
  <si>
    <t>Помидор свежий</t>
  </si>
  <si>
    <t>2</t>
  </si>
  <si>
    <t>Салат из белокачанной капусты с морковью, зеленью и растительным маслом</t>
  </si>
  <si>
    <t>Салат из свежей капусты с помидорами и растительным маслом</t>
  </si>
  <si>
    <t>Щи с капустой, картофелем, сметаной, мясом, зеленью</t>
  </si>
  <si>
    <t>Салат из свежих помидор с зеленью и растительным маслом</t>
  </si>
  <si>
    <t>Суп из овощей со сметаной, мясом, зеленью</t>
  </si>
  <si>
    <t>Суп крестьянский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</si>
</sst>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2" fontId="8" fillId="3" borderId="0" xfId="0" applyNumberFormat="1" applyFont="1" applyFill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49" fontId="9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2" fontId="12" fillId="3" borderId="0" xfId="0" applyNumberFormat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3" borderId="1" xfId="2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1" fontId="17" fillId="2" borderId="1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top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0" fontId="17" fillId="3" borderId="0" xfId="0" applyFont="1" applyFill="1"/>
    <xf numFmtId="0" fontId="17" fillId="3" borderId="1" xfId="0" applyFont="1" applyFill="1" applyBorder="1" applyAlignment="1" applyProtection="1">
      <alignment horizontal="left" vertical="top" wrapText="1"/>
      <protection locked="0"/>
    </xf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 applyAlignment="1">
      <alignment horizontal="left" vertical="top" wrapText="1"/>
    </xf>
    <xf numFmtId="2" fontId="16" fillId="4" borderId="1" xfId="0" applyNumberFormat="1" applyFont="1" applyFill="1" applyBorder="1" applyAlignment="1">
      <alignment horizontal="left" vertical="top" wrapText="1"/>
    </xf>
    <xf numFmtId="2" fontId="8" fillId="3" borderId="0" xfId="2" applyNumberFormat="1" applyFont="1" applyFill="1" applyAlignment="1">
      <alignment horizontal="left" vertical="center" wrapText="1"/>
    </xf>
    <xf numFmtId="0" fontId="24" fillId="3" borderId="0" xfId="0" applyFont="1" applyFill="1"/>
    <xf numFmtId="0" fontId="17" fillId="4" borderId="17" xfId="0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2" fontId="16" fillId="4" borderId="17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49" fontId="8" fillId="3" borderId="1" xfId="2" applyNumberFormat="1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0" borderId="3" xfId="0" applyFont="1" applyBorder="1"/>
    <xf numFmtId="0" fontId="17" fillId="0" borderId="4" xfId="0" applyFont="1" applyBorder="1"/>
    <xf numFmtId="0" fontId="17" fillId="3" borderId="0" xfId="0" applyFont="1" applyFill="1" applyAlignment="1">
      <alignment horizontal="left"/>
    </xf>
    <xf numFmtId="0" fontId="17" fillId="3" borderId="0" xfId="0" applyFont="1" applyFill="1" applyBorder="1"/>
    <xf numFmtId="2" fontId="16" fillId="3" borderId="0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Border="1"/>
    <xf numFmtId="49" fontId="17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Alignment="1">
      <alignment vertical="center"/>
    </xf>
    <xf numFmtId="49" fontId="16" fillId="4" borderId="22" xfId="0" applyNumberFormat="1" applyFont="1" applyFill="1" applyBorder="1" applyAlignment="1">
      <alignment horizontal="center" vertical="center" wrapText="1"/>
    </xf>
    <xf numFmtId="49" fontId="16" fillId="4" borderId="17" xfId="0" applyNumberFormat="1" applyFont="1" applyFill="1" applyBorder="1" applyAlignment="1">
      <alignment horizontal="center" vertical="center" wrapText="1"/>
    </xf>
    <xf numFmtId="49" fontId="1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4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Alignment="1">
      <alignment vertical="center"/>
    </xf>
    <xf numFmtId="49" fontId="17" fillId="3" borderId="0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Border="1" applyAlignment="1">
      <alignment vertical="center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horizontal="left" wrapText="1"/>
    </xf>
    <xf numFmtId="0" fontId="23" fillId="0" borderId="4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 applyProtection="1">
      <alignment horizontal="left" wrapText="1"/>
      <protection locked="0"/>
    </xf>
    <xf numFmtId="0" fontId="17" fillId="0" borderId="0" xfId="0" applyFont="1" applyBorder="1" applyAlignment="1">
      <alignment horizontal="left" wrapText="1"/>
    </xf>
    <xf numFmtId="2" fontId="16" fillId="3" borderId="4" xfId="0" applyNumberFormat="1" applyFont="1" applyFill="1" applyBorder="1" applyAlignment="1">
      <alignment horizontal="left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10" fillId="6" borderId="1" xfId="0" applyFont="1" applyFill="1" applyBorder="1" applyAlignment="1" applyProtection="1">
      <alignment horizontal="left"/>
      <protection locked="0"/>
    </xf>
    <xf numFmtId="0" fontId="17" fillId="6" borderId="1" xfId="0" applyFont="1" applyFill="1" applyBorder="1" applyAlignment="1">
      <alignment horizontal="left" vertical="top" wrapText="1"/>
    </xf>
    <xf numFmtId="2" fontId="16" fillId="6" borderId="1" xfId="0" applyNumberFormat="1" applyFont="1" applyFill="1" applyBorder="1" applyAlignment="1">
      <alignment horizontal="left" vertical="top" wrapText="1"/>
    </xf>
    <xf numFmtId="49" fontId="16" fillId="6" borderId="22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2" applyNumberFormat="1" applyFont="1" applyFill="1" applyBorder="1" applyAlignment="1">
      <alignment horizontal="left" vertical="center"/>
    </xf>
    <xf numFmtId="49" fontId="17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17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 applyProtection="1">
      <alignment horizontal="left" vertical="top" wrapText="1"/>
      <protection locked="0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1" applyFont="1" applyFill="1" applyBorder="1" applyAlignment="1">
      <alignment vertical="center" wrapText="1"/>
    </xf>
    <xf numFmtId="2" fontId="7" fillId="0" borderId="26" xfId="1" applyNumberFormat="1" applyFont="1" applyFill="1" applyBorder="1" applyAlignment="1">
      <alignment horizontal="left" vertical="center"/>
    </xf>
    <xf numFmtId="49" fontId="7" fillId="0" borderId="26" xfId="0" applyNumberFormat="1" applyFont="1" applyFill="1" applyBorder="1" applyAlignment="1">
      <alignment horizontal="left" vertical="center"/>
    </xf>
    <xf numFmtId="2" fontId="7" fillId="0" borderId="26" xfId="1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 applyProtection="1">
      <alignment horizontal="left" vertical="top" wrapText="1"/>
      <protection locked="0"/>
    </xf>
    <xf numFmtId="2" fontId="17" fillId="0" borderId="0" xfId="0" applyNumberFormat="1" applyFont="1" applyAlignment="1">
      <alignment vertical="center"/>
    </xf>
    <xf numFmtId="2" fontId="23" fillId="0" borderId="4" xfId="0" applyNumberFormat="1" applyFont="1" applyBorder="1" applyAlignment="1">
      <alignment horizontal="center" vertical="center" wrapText="1"/>
    </xf>
    <xf numFmtId="2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" xfId="0" applyNumberFormat="1" applyFont="1" applyFill="1" applyBorder="1" applyAlignment="1">
      <alignment horizontal="center" vertical="center" wrapText="1"/>
    </xf>
    <xf numFmtId="2" fontId="16" fillId="4" borderId="17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/>
    </xf>
    <xf numFmtId="2" fontId="17" fillId="3" borderId="0" xfId="0" applyNumberFormat="1" applyFont="1" applyFill="1" applyAlignment="1">
      <alignment vertical="center"/>
    </xf>
    <xf numFmtId="2" fontId="17" fillId="3" borderId="0" xfId="0" applyNumberFormat="1" applyFont="1" applyFill="1" applyBorder="1" applyAlignment="1">
      <alignment vertical="center"/>
    </xf>
    <xf numFmtId="2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0" xfId="0" applyNumberFormat="1" applyFont="1" applyBorder="1" applyAlignment="1">
      <alignment vertical="center"/>
    </xf>
    <xf numFmtId="2" fontId="8" fillId="0" borderId="1" xfId="4" applyNumberFormat="1" applyFont="1" applyFill="1" applyBorder="1" applyAlignment="1">
      <alignment horizontal="left" vertical="center"/>
    </xf>
    <xf numFmtId="2" fontId="8" fillId="0" borderId="1" xfId="4" applyNumberFormat="1" applyFont="1" applyFill="1" applyBorder="1" applyAlignment="1">
      <alignment horizontal="left" vertical="center" wrapText="1"/>
    </xf>
    <xf numFmtId="2" fontId="9" fillId="0" borderId="8" xfId="4" applyNumberFormat="1" applyFont="1" applyFill="1" applyBorder="1" applyAlignment="1">
      <alignment horizontal="center" vertical="center"/>
    </xf>
    <xf numFmtId="2" fontId="9" fillId="0" borderId="1" xfId="4" applyNumberFormat="1" applyFont="1" applyBorder="1" applyAlignment="1">
      <alignment horizontal="center" vertical="center"/>
    </xf>
    <xf numFmtId="2" fontId="9" fillId="0" borderId="1" xfId="10" applyNumberFormat="1" applyFont="1" applyFill="1" applyBorder="1" applyAlignment="1">
      <alignment horizontal="center" vertical="center"/>
    </xf>
    <xf numFmtId="2" fontId="8" fillId="7" borderId="1" xfId="4" applyNumberFormat="1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left" vertical="center" wrapText="1"/>
    </xf>
    <xf numFmtId="0" fontId="25" fillId="4" borderId="19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7" fillId="2" borderId="23" xfId="0" applyFont="1" applyFill="1" applyBorder="1" applyAlignment="1" applyProtection="1">
      <alignment horizontal="left" wrapText="1"/>
      <protection locked="0"/>
    </xf>
    <xf numFmtId="0" fontId="17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left" vertical="center"/>
    </xf>
    <xf numFmtId="0" fontId="18" fillId="0" borderId="0" xfId="0" applyFont="1" applyAlignment="1"/>
  </cellXfs>
  <cellStyles count="11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  <cellStyle name="Обычный 5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163" zoomScale="70" zoomScaleNormal="70" workbookViewId="0">
      <selection activeCell="E183" sqref="E183"/>
    </sheetView>
  </sheetViews>
  <sheetFormatPr defaultColWidth="4.7109375" defaultRowHeight="15"/>
  <cols>
    <col min="1" max="1" width="5.140625" style="46" customWidth="1"/>
    <col min="2" max="2" width="6.14062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20" customWidth="1"/>
    <col min="13" max="16384" width="4.7109375" style="46"/>
  </cols>
  <sheetData>
    <row r="1" spans="1:14" ht="15.75">
      <c r="A1" s="45" t="s">
        <v>0</v>
      </c>
      <c r="C1" s="147"/>
      <c r="D1" s="148"/>
      <c r="E1" s="148"/>
      <c r="F1" s="47" t="s">
        <v>1</v>
      </c>
      <c r="G1" s="46" t="s">
        <v>2</v>
      </c>
      <c r="H1" s="149" t="s">
        <v>84</v>
      </c>
      <c r="I1" s="150"/>
      <c r="J1" s="150"/>
      <c r="K1" s="151"/>
    </row>
    <row r="2" spans="1:14" ht="16.5">
      <c r="A2" s="153" t="s">
        <v>3</v>
      </c>
      <c r="B2" s="154"/>
      <c r="C2" s="154"/>
      <c r="D2" s="154"/>
      <c r="E2" s="154"/>
      <c r="F2" s="154"/>
      <c r="G2" s="46" t="s">
        <v>4</v>
      </c>
      <c r="H2" s="152" t="s">
        <v>85</v>
      </c>
      <c r="I2" s="152"/>
      <c r="J2" s="152"/>
      <c r="K2" s="152"/>
    </row>
    <row r="3" spans="1:14">
      <c r="A3" s="48" t="s">
        <v>5</v>
      </c>
      <c r="C3" s="46"/>
      <c r="D3" s="49"/>
      <c r="E3" s="88" t="s">
        <v>131</v>
      </c>
      <c r="G3" s="46" t="s">
        <v>6</v>
      </c>
      <c r="H3" s="50">
        <v>1</v>
      </c>
      <c r="I3" s="50">
        <v>3</v>
      </c>
      <c r="J3" s="51">
        <v>2026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133</v>
      </c>
      <c r="I5" s="55" t="s">
        <v>17</v>
      </c>
      <c r="J5" s="55" t="s">
        <v>18</v>
      </c>
      <c r="K5" s="56" t="s">
        <v>19</v>
      </c>
      <c r="L5" s="121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56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90</v>
      </c>
      <c r="L6" s="122">
        <v>32.950000000000003</v>
      </c>
      <c r="M6" s="57"/>
    </row>
    <row r="7" spans="1:14" ht="15.75">
      <c r="A7" s="3"/>
      <c r="B7" s="4"/>
      <c r="C7" s="29"/>
      <c r="D7" s="31" t="s">
        <v>58</v>
      </c>
      <c r="E7" s="42" t="s">
        <v>76</v>
      </c>
      <c r="F7" s="107">
        <v>100</v>
      </c>
      <c r="G7" s="107">
        <v>0.4</v>
      </c>
      <c r="H7" s="107">
        <v>0.4</v>
      </c>
      <c r="I7" s="107">
        <v>10.95</v>
      </c>
      <c r="J7" s="107">
        <v>49</v>
      </c>
      <c r="K7" s="108" t="s">
        <v>25</v>
      </c>
      <c r="L7" s="123">
        <v>33.049999999999997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57</v>
      </c>
      <c r="L8" s="123">
        <v>21.99</v>
      </c>
      <c r="M8" s="57"/>
    </row>
    <row r="9" spans="1:14" ht="15.75">
      <c r="A9" s="3"/>
      <c r="B9" s="4"/>
      <c r="C9" s="29"/>
      <c r="D9" s="30" t="s">
        <v>35</v>
      </c>
      <c r="E9" s="42" t="s">
        <v>26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91</v>
      </c>
      <c r="L9" s="123">
        <v>34.090000000000003</v>
      </c>
      <c r="M9" s="57"/>
    </row>
    <row r="10" spans="1:14" ht="15.75">
      <c r="A10" s="3"/>
      <c r="B10" s="4"/>
      <c r="C10" s="29"/>
      <c r="D10" s="30" t="s">
        <v>37</v>
      </c>
      <c r="E10" s="13" t="s">
        <v>128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25</v>
      </c>
      <c r="L10" s="123">
        <v>2.95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23"/>
      <c r="M11" s="57"/>
    </row>
    <row r="12" spans="1:14" ht="15.75">
      <c r="A12" s="23"/>
      <c r="B12" s="24"/>
      <c r="C12" s="32"/>
      <c r="D12" s="33" t="s">
        <v>27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24">
        <f>SUM(L6:L11)+0.01</f>
        <v>125.04</v>
      </c>
      <c r="M12" s="57"/>
    </row>
    <row r="13" spans="1:14" ht="31.5">
      <c r="A13" s="5">
        <f>A6</f>
        <v>1</v>
      </c>
      <c r="B13" s="6">
        <f>B6</f>
        <v>1</v>
      </c>
      <c r="C13" s="34" t="s">
        <v>28</v>
      </c>
      <c r="D13" s="30" t="s">
        <v>29</v>
      </c>
      <c r="E13" s="62" t="s">
        <v>140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77</v>
      </c>
      <c r="L13" s="123">
        <v>15.11</v>
      </c>
      <c r="M13" s="57"/>
    </row>
    <row r="14" spans="1:14" ht="31.5">
      <c r="A14" s="3"/>
      <c r="B14" s="4"/>
      <c r="C14" s="29"/>
      <c r="D14" s="30" t="s">
        <v>30</v>
      </c>
      <c r="E14" s="42" t="s">
        <v>141</v>
      </c>
      <c r="F14" s="104">
        <v>200</v>
      </c>
      <c r="G14" s="105">
        <f>F14*6.3/200</f>
        <v>6.3</v>
      </c>
      <c r="H14" s="105">
        <f>F14*6.2/200</f>
        <v>6.2</v>
      </c>
      <c r="I14" s="105">
        <f>F14*17.2/200</f>
        <v>17.2</v>
      </c>
      <c r="J14" s="105">
        <f>F14*150.6/200</f>
        <v>150.6</v>
      </c>
      <c r="K14" s="109" t="s">
        <v>78</v>
      </c>
      <c r="L14" s="123">
        <v>18.739999999999998</v>
      </c>
      <c r="M14" s="57"/>
    </row>
    <row r="15" spans="1:14" ht="15.75">
      <c r="A15" s="3"/>
      <c r="B15" s="4"/>
      <c r="C15" s="29"/>
      <c r="D15" s="30" t="s">
        <v>31</v>
      </c>
      <c r="E15" s="41" t="s">
        <v>47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48</v>
      </c>
      <c r="L15" s="123">
        <v>77.849999999999994</v>
      </c>
      <c r="M15" s="63"/>
      <c r="N15" s="63"/>
    </row>
    <row r="16" spans="1:14" ht="15.75">
      <c r="A16" s="3"/>
      <c r="B16" s="4"/>
      <c r="C16" s="29"/>
      <c r="D16" s="30" t="s">
        <v>32</v>
      </c>
      <c r="E16" s="42" t="s">
        <v>33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68</v>
      </c>
      <c r="L16" s="123">
        <v>9.5500000000000007</v>
      </c>
      <c r="M16" s="57"/>
    </row>
    <row r="17" spans="1:13" ht="15.75">
      <c r="A17" s="3"/>
      <c r="B17" s="4"/>
      <c r="C17" s="29"/>
      <c r="D17" s="30" t="s">
        <v>87</v>
      </c>
      <c r="E17" s="42" t="s">
        <v>34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23">
        <v>17.3</v>
      </c>
      <c r="M17" s="57"/>
    </row>
    <row r="18" spans="1:13" ht="31.5">
      <c r="A18" s="3"/>
      <c r="B18" s="4"/>
      <c r="C18" s="29"/>
      <c r="D18" s="30" t="s">
        <v>35</v>
      </c>
      <c r="E18" s="13" t="s">
        <v>36</v>
      </c>
      <c r="F18" s="107">
        <v>30</v>
      </c>
      <c r="G18" s="107">
        <f>SUM(F18*2.37/30)</f>
        <v>2.37</v>
      </c>
      <c r="H18" s="107">
        <f>SUM(F18*0.3/30)</f>
        <v>0.3</v>
      </c>
      <c r="I18" s="107">
        <f>SUM(F18*14.49/30)</f>
        <v>14.49</v>
      </c>
      <c r="J18" s="107">
        <f>SUM(F18*70.14/30)</f>
        <v>70.14</v>
      </c>
      <c r="K18" s="109" t="s">
        <v>25</v>
      </c>
      <c r="L18" s="123">
        <v>3.19</v>
      </c>
      <c r="M18" s="57"/>
    </row>
    <row r="19" spans="1:13" ht="15.75">
      <c r="A19" s="3"/>
      <c r="B19" s="4"/>
      <c r="C19" s="29"/>
      <c r="D19" s="30" t="s">
        <v>37</v>
      </c>
      <c r="E19" s="42" t="s">
        <v>128</v>
      </c>
      <c r="F19" s="107">
        <v>34</v>
      </c>
      <c r="G19" s="107">
        <f>SUM(F19*1.68/30)</f>
        <v>1.9039999999999999</v>
      </c>
      <c r="H19" s="107">
        <f>SUM(F19*0.33/30)</f>
        <v>0.374</v>
      </c>
      <c r="I19" s="107">
        <f>SUM(F19*14.82/30)</f>
        <v>16.795999999999999</v>
      </c>
      <c r="J19" s="107">
        <f>SUM(F19*68.97/30)</f>
        <v>78.165999999999997</v>
      </c>
      <c r="K19" s="109" t="s">
        <v>39</v>
      </c>
      <c r="L19" s="123">
        <v>3.32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23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23"/>
      <c r="M21" s="57"/>
    </row>
    <row r="22" spans="1:13" ht="15.75">
      <c r="A22" s="23"/>
      <c r="B22" s="24"/>
      <c r="C22" s="32"/>
      <c r="D22" s="33" t="s">
        <v>27</v>
      </c>
      <c r="E22" s="60"/>
      <c r="F22" s="61">
        <f>SUM(F13:F21)</f>
        <v>764</v>
      </c>
      <c r="G22" s="61">
        <f>SUM(G13:G21)</f>
        <v>30.943999999999996</v>
      </c>
      <c r="H22" s="61">
        <f t="shared" ref="H22:J22" si="0">SUM(H13:H21)</f>
        <v>33.533999999999999</v>
      </c>
      <c r="I22" s="61">
        <f t="shared" si="0"/>
        <v>116.036</v>
      </c>
      <c r="J22" s="61">
        <f t="shared" si="0"/>
        <v>890.9559999999999</v>
      </c>
      <c r="K22" s="80"/>
      <c r="L22" s="124">
        <f>L13+L14+L15+L16+L17+L18+L19+L20-0.01</f>
        <v>145.04999999999998</v>
      </c>
      <c r="M22" s="57"/>
    </row>
    <row r="23" spans="1:13" ht="16.5" thickBot="1">
      <c r="A23" s="25">
        <f>A6</f>
        <v>1</v>
      </c>
      <c r="B23" s="26">
        <f>B6</f>
        <v>1</v>
      </c>
      <c r="C23" s="142" t="s">
        <v>38</v>
      </c>
      <c r="D23" s="143"/>
      <c r="E23" s="64"/>
      <c r="F23" s="66">
        <f>F12+F22</f>
        <v>1344</v>
      </c>
      <c r="G23" s="66">
        <f t="shared" ref="G23:J23" si="1">G12+G22</f>
        <v>49.723999999999997</v>
      </c>
      <c r="H23" s="66">
        <f t="shared" si="1"/>
        <v>52.563999999999993</v>
      </c>
      <c r="I23" s="66">
        <f t="shared" si="1"/>
        <v>205.006</v>
      </c>
      <c r="J23" s="66">
        <f t="shared" si="1"/>
        <v>1493.4259999999999</v>
      </c>
      <c r="K23" s="81"/>
      <c r="L23" s="125">
        <f>L12+L22</f>
        <v>270.08999999999997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31</v>
      </c>
      <c r="E24" s="41" t="s">
        <v>80</v>
      </c>
      <c r="F24" s="136">
        <v>99</v>
      </c>
      <c r="G24" s="107">
        <f>F24*12.6/90</f>
        <v>13.859999999999998</v>
      </c>
      <c r="H24" s="107">
        <f>F24*13.5/90</f>
        <v>14.85</v>
      </c>
      <c r="I24" s="107">
        <f>F24*7.83/90</f>
        <v>8.6129999999999995</v>
      </c>
      <c r="J24" s="107">
        <f>F24*203.22/90</f>
        <v>223.54199999999997</v>
      </c>
      <c r="K24" s="110" t="s">
        <v>50</v>
      </c>
      <c r="L24" s="138">
        <v>88.81</v>
      </c>
      <c r="M24" s="57"/>
    </row>
    <row r="25" spans="1:13" ht="15.75">
      <c r="A25" s="7"/>
      <c r="B25" s="4"/>
      <c r="C25" s="29"/>
      <c r="D25" s="30" t="s">
        <v>32</v>
      </c>
      <c r="E25" s="41" t="s">
        <v>51</v>
      </c>
      <c r="F25" s="137">
        <v>150</v>
      </c>
      <c r="G25" s="107">
        <f>F25*3.17/150</f>
        <v>3.17</v>
      </c>
      <c r="H25" s="107">
        <f>F25*3.6/150</f>
        <v>3.6</v>
      </c>
      <c r="I25" s="107">
        <f>F25*20.4/150</f>
        <v>20.399999999999999</v>
      </c>
      <c r="J25" s="107">
        <f>F25*128/150</f>
        <v>128</v>
      </c>
      <c r="K25" s="110">
        <v>44258</v>
      </c>
      <c r="L25" s="139">
        <v>22.98</v>
      </c>
      <c r="M25" s="57"/>
    </row>
    <row r="26" spans="1:13" ht="15.75">
      <c r="A26" s="7"/>
      <c r="B26" s="4"/>
      <c r="C26" s="29"/>
      <c r="D26" s="30" t="s">
        <v>23</v>
      </c>
      <c r="E26" s="42" t="s">
        <v>44</v>
      </c>
      <c r="F26" s="13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73</v>
      </c>
      <c r="L26" s="139">
        <v>6.62</v>
      </c>
      <c r="M26" s="57"/>
    </row>
    <row r="27" spans="1:13" ht="31.5">
      <c r="A27" s="7"/>
      <c r="B27" s="4"/>
      <c r="C27" s="29"/>
      <c r="D27" s="30" t="s">
        <v>35</v>
      </c>
      <c r="E27" s="13" t="s">
        <v>36</v>
      </c>
      <c r="F27" s="136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25</v>
      </c>
      <c r="L27" s="140">
        <v>3.19</v>
      </c>
      <c r="M27" s="57"/>
    </row>
    <row r="28" spans="1:13" ht="15.75">
      <c r="A28" s="7"/>
      <c r="B28" s="4"/>
      <c r="C28" s="29"/>
      <c r="D28" s="30" t="s">
        <v>37</v>
      </c>
      <c r="E28" s="42" t="s">
        <v>128</v>
      </c>
      <c r="F28" s="136">
        <v>35</v>
      </c>
      <c r="G28" s="107">
        <f>SUM(F28*1.68/30)</f>
        <v>1.96</v>
      </c>
      <c r="H28" s="107">
        <f>SUM(F28*0.33/30)</f>
        <v>0.38500000000000001</v>
      </c>
      <c r="I28" s="107">
        <f>SUM(F28*14.82/30)</f>
        <v>17.290000000000003</v>
      </c>
      <c r="J28" s="107">
        <f>SUM(F28*68.97/30)</f>
        <v>80.464999999999989</v>
      </c>
      <c r="K28" s="108" t="s">
        <v>25</v>
      </c>
      <c r="L28" s="140">
        <v>3.44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23"/>
      <c r="M29" s="57"/>
    </row>
    <row r="30" spans="1:13" ht="15.75">
      <c r="A30" s="35"/>
      <c r="B30" s="24"/>
      <c r="C30" s="32"/>
      <c r="D30" s="33" t="s">
        <v>27</v>
      </c>
      <c r="E30" s="60"/>
      <c r="F30" s="61">
        <f>SUM(F24:F29)</f>
        <v>514</v>
      </c>
      <c r="G30" s="61">
        <f>SUM(G24:G29)</f>
        <v>22.36</v>
      </c>
      <c r="H30" s="61">
        <f>SUM(H24:H29)</f>
        <v>19.235000000000003</v>
      </c>
      <c r="I30" s="61">
        <f>SUM(I24:I29)</f>
        <v>80.593000000000004</v>
      </c>
      <c r="J30" s="61">
        <f>SUM(J24:J29)</f>
        <v>586.14699999999993</v>
      </c>
      <c r="K30" s="80"/>
      <c r="L30" s="124">
        <f>SUM(L24:L29)</f>
        <v>125.04</v>
      </c>
      <c r="M30" s="57"/>
    </row>
    <row r="31" spans="1:13" ht="55.5" customHeight="1">
      <c r="A31" s="6">
        <v>1</v>
      </c>
      <c r="B31" s="6">
        <v>2</v>
      </c>
      <c r="C31" s="34" t="s">
        <v>28</v>
      </c>
      <c r="D31" s="30" t="s">
        <v>29</v>
      </c>
      <c r="E31" s="42" t="s">
        <v>151</v>
      </c>
      <c r="F31" s="141">
        <v>80</v>
      </c>
      <c r="G31" s="107">
        <f>F31*1.28/100</f>
        <v>1.024</v>
      </c>
      <c r="H31" s="107">
        <f>F31*5.97/100</f>
        <v>4.7759999999999998</v>
      </c>
      <c r="I31" s="107">
        <f>F31*6/100</f>
        <v>4.8</v>
      </c>
      <c r="J31" s="107">
        <f>F31*83/100</f>
        <v>66.400000000000006</v>
      </c>
      <c r="K31" s="108" t="s">
        <v>145</v>
      </c>
      <c r="L31" s="123">
        <v>11.21</v>
      </c>
      <c r="M31" s="57"/>
    </row>
    <row r="32" spans="1:13" ht="31.5">
      <c r="A32" s="7"/>
      <c r="B32" s="4"/>
      <c r="C32" s="29"/>
      <c r="D32" s="30" t="s">
        <v>30</v>
      </c>
      <c r="E32" s="41" t="s">
        <v>158</v>
      </c>
      <c r="F32" s="136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137</v>
      </c>
      <c r="L32" s="123">
        <v>38.159999999999997</v>
      </c>
      <c r="M32" s="57"/>
    </row>
    <row r="33" spans="1:14" ht="15.75">
      <c r="A33" s="7"/>
      <c r="B33" s="4"/>
      <c r="C33" s="29"/>
      <c r="D33" s="30" t="s">
        <v>31</v>
      </c>
      <c r="E33" s="41" t="s">
        <v>53</v>
      </c>
      <c r="F33" s="136">
        <v>250</v>
      </c>
      <c r="G33" s="107">
        <f>F33*12.3/200</f>
        <v>15.375</v>
      </c>
      <c r="H33" s="107">
        <f>F33*28.3/200</f>
        <v>35.375</v>
      </c>
      <c r="I33" s="107">
        <f>F33*38/200</f>
        <v>47.5</v>
      </c>
      <c r="J33" s="107">
        <f>460*F33/200</f>
        <v>575</v>
      </c>
      <c r="K33" s="108">
        <v>44294</v>
      </c>
      <c r="L33" s="123">
        <v>80.61</v>
      </c>
      <c r="M33" s="57"/>
    </row>
    <row r="34" spans="1:14" ht="15.75">
      <c r="A34" s="7"/>
      <c r="B34" s="4"/>
      <c r="C34" s="29"/>
      <c r="D34" s="30" t="s">
        <v>87</v>
      </c>
      <c r="E34" s="41" t="s">
        <v>149</v>
      </c>
      <c r="F34" s="136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23">
        <v>5.74</v>
      </c>
      <c r="M34" s="57"/>
    </row>
    <row r="35" spans="1:14" ht="31.5">
      <c r="A35" s="7"/>
      <c r="B35" s="4"/>
      <c r="C35" s="29"/>
      <c r="D35" s="30" t="s">
        <v>35</v>
      </c>
      <c r="E35" s="13" t="s">
        <v>36</v>
      </c>
      <c r="F35" s="136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25</v>
      </c>
      <c r="L35" s="123">
        <v>5.32</v>
      </c>
      <c r="M35" s="57"/>
      <c r="N35" s="46">
        <v>1</v>
      </c>
    </row>
    <row r="36" spans="1:14" ht="15.75">
      <c r="A36" s="7"/>
      <c r="B36" s="4"/>
      <c r="C36" s="29"/>
      <c r="D36" s="30" t="s">
        <v>37</v>
      </c>
      <c r="E36" s="13" t="s">
        <v>128</v>
      </c>
      <c r="F36" s="136">
        <v>41</v>
      </c>
      <c r="G36" s="107">
        <f>SUM(F36*1.68/30)</f>
        <v>2.2959999999999998</v>
      </c>
      <c r="H36" s="107">
        <f>SUM(F36*0.33/30)</f>
        <v>0.45100000000000001</v>
      </c>
      <c r="I36" s="107">
        <f>SUM(F36*14.82/30)</f>
        <v>20.254000000000001</v>
      </c>
      <c r="J36" s="107">
        <f>SUM(F36*68.97/30)</f>
        <v>94.259</v>
      </c>
      <c r="K36" s="108" t="s">
        <v>25</v>
      </c>
      <c r="L36" s="123">
        <v>4.0199999999999996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23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23"/>
      <c r="M38" s="57"/>
    </row>
    <row r="39" spans="1:14" ht="15.75">
      <c r="A39" s="35"/>
      <c r="B39" s="24"/>
      <c r="C39" s="32"/>
      <c r="D39" s="33" t="s">
        <v>27</v>
      </c>
      <c r="E39" s="60"/>
      <c r="F39" s="61">
        <f>SUM(F31:F38)</f>
        <v>821</v>
      </c>
      <c r="G39" s="61">
        <f>SUM(G31:G38)</f>
        <v>26.145</v>
      </c>
      <c r="H39" s="61">
        <f>SUM(H31:H38)</f>
        <v>48.321999999999996</v>
      </c>
      <c r="I39" s="61">
        <f>SUM(I31:I38)</f>
        <v>133.904</v>
      </c>
      <c r="J39" s="61">
        <f>SUM(J31:J38)</f>
        <v>1080.3589999999999</v>
      </c>
      <c r="K39" s="80"/>
      <c r="L39" s="124">
        <f>SUM(L31:L38)-0.01</f>
        <v>145.05000000000001</v>
      </c>
      <c r="M39" s="57"/>
    </row>
    <row r="40" spans="1:14" ht="16.5" thickBot="1">
      <c r="A40" s="36" t="e">
        <f>#REF!</f>
        <v>#REF!</v>
      </c>
      <c r="B40" s="36" t="e">
        <f>#REF!</f>
        <v>#REF!</v>
      </c>
      <c r="C40" s="142" t="s">
        <v>38</v>
      </c>
      <c r="D40" s="143"/>
      <c r="E40" s="64"/>
      <c r="F40" s="66">
        <f>F30+F39</f>
        <v>1335</v>
      </c>
      <c r="G40" s="66">
        <f>G30+G39</f>
        <v>48.504999999999995</v>
      </c>
      <c r="H40" s="66">
        <f>H30+H39</f>
        <v>67.557000000000002</v>
      </c>
      <c r="I40" s="66">
        <f>I30+I39</f>
        <v>214.49700000000001</v>
      </c>
      <c r="J40" s="66">
        <f>J30+J39</f>
        <v>1666.5059999999999</v>
      </c>
      <c r="K40" s="81"/>
      <c r="L40" s="125">
        <f>L30+L39</f>
        <v>270.09000000000003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22"/>
      <c r="M41" s="57"/>
    </row>
    <row r="42" spans="1:14" ht="31.5">
      <c r="A42" s="3"/>
      <c r="B42" s="4"/>
      <c r="C42" s="29"/>
      <c r="D42" s="28" t="s">
        <v>31</v>
      </c>
      <c r="E42" s="14" t="s">
        <v>43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22">
        <v>64.61</v>
      </c>
      <c r="M42" s="57"/>
      <c r="N42" s="57"/>
    </row>
    <row r="43" spans="1:14" ht="15.75">
      <c r="A43" s="3"/>
      <c r="B43" s="4"/>
      <c r="C43" s="29"/>
      <c r="D43" s="31" t="s">
        <v>32</v>
      </c>
      <c r="E43" s="13" t="s">
        <v>33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23">
        <v>9.5500000000000007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92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52</v>
      </c>
      <c r="L44" s="123">
        <v>22.54</v>
      </c>
      <c r="M44" s="57"/>
      <c r="N44" s="57"/>
    </row>
    <row r="45" spans="1:14" ht="31.5">
      <c r="A45" s="3"/>
      <c r="B45" s="4"/>
      <c r="C45" s="29"/>
      <c r="D45" s="30" t="s">
        <v>35</v>
      </c>
      <c r="E45" s="13" t="s">
        <v>36</v>
      </c>
      <c r="F45" s="107">
        <v>34</v>
      </c>
      <c r="G45" s="107">
        <f>SUM(F45*2.37/30)</f>
        <v>2.6859999999999999</v>
      </c>
      <c r="H45" s="107">
        <f>SUM(F45*0.3/30)</f>
        <v>0.33999999999999997</v>
      </c>
      <c r="I45" s="107">
        <f>SUM(F45*14.49/30)</f>
        <v>16.422000000000001</v>
      </c>
      <c r="J45" s="107">
        <f>SUM(F45*70.14/30)</f>
        <v>79.492000000000004</v>
      </c>
      <c r="K45" s="108" t="s">
        <v>25</v>
      </c>
      <c r="L45" s="123">
        <v>3.62</v>
      </c>
      <c r="M45" s="57"/>
      <c r="N45" s="57"/>
    </row>
    <row r="46" spans="1:14" ht="15.75">
      <c r="A46" s="3"/>
      <c r="B46" s="4"/>
      <c r="C46" s="29"/>
      <c r="D46" s="30" t="s">
        <v>37</v>
      </c>
      <c r="E46" s="13" t="s">
        <v>128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25</v>
      </c>
      <c r="L46" s="123">
        <v>2.95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157</v>
      </c>
      <c r="F47" s="113">
        <v>46</v>
      </c>
      <c r="G47" s="113">
        <f>F47*1.3/100</f>
        <v>0.59800000000000009</v>
      </c>
      <c r="H47" s="113">
        <f>F47*6.1/100</f>
        <v>2.8059999999999996</v>
      </c>
      <c r="I47" s="113">
        <f>F47*4.1/100</f>
        <v>1.8859999999999999</v>
      </c>
      <c r="J47" s="113">
        <f>F47*82/100</f>
        <v>37.72</v>
      </c>
      <c r="K47" s="114" t="s">
        <v>148</v>
      </c>
      <c r="L47" s="126">
        <v>21.76</v>
      </c>
      <c r="M47" s="57"/>
      <c r="N47" s="57"/>
    </row>
    <row r="48" spans="1:14" ht="15.75">
      <c r="A48" s="23"/>
      <c r="B48" s="24"/>
      <c r="C48" s="32"/>
      <c r="D48" s="33" t="s">
        <v>27</v>
      </c>
      <c r="E48" s="60"/>
      <c r="F48" s="61">
        <f>SUM(F41:F47)</f>
        <v>550</v>
      </c>
      <c r="G48" s="61">
        <f>SUM(G41:G47)</f>
        <v>31.084000000000003</v>
      </c>
      <c r="H48" s="61">
        <f t="shared" ref="H48" si="2">SUM(H41:H47)</f>
        <v>24.086000000000002</v>
      </c>
      <c r="I48" s="61">
        <f>SUM(I41:I47)</f>
        <v>88.507999999999981</v>
      </c>
      <c r="J48" s="61">
        <f t="shared" ref="J48" si="3">SUM(J41:J47)</f>
        <v>696.93200000000002</v>
      </c>
      <c r="K48" s="80"/>
      <c r="L48" s="124">
        <f>SUM(L41:L47)+0.01</f>
        <v>125.04</v>
      </c>
      <c r="M48" s="57"/>
    </row>
    <row r="49" spans="1:13" ht="47.25">
      <c r="A49" s="5">
        <f>A41</f>
        <v>1</v>
      </c>
      <c r="B49" s="6">
        <f>B41</f>
        <v>3</v>
      </c>
      <c r="C49" s="34" t="s">
        <v>28</v>
      </c>
      <c r="D49" s="30" t="s">
        <v>29</v>
      </c>
      <c r="E49" s="68" t="s">
        <v>93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94</v>
      </c>
      <c r="L49" s="123">
        <v>11.8</v>
      </c>
      <c r="M49" s="57"/>
    </row>
    <row r="50" spans="1:13" ht="32.25" thickBot="1">
      <c r="A50" s="3"/>
      <c r="B50" s="4"/>
      <c r="C50" s="29"/>
      <c r="D50" s="30" t="s">
        <v>30</v>
      </c>
      <c r="E50" s="41" t="s">
        <v>45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95</v>
      </c>
      <c r="L50" s="123">
        <v>27.59</v>
      </c>
      <c r="M50" s="57"/>
    </row>
    <row r="51" spans="1:13" ht="31.5">
      <c r="A51" s="3"/>
      <c r="B51" s="4"/>
      <c r="C51" s="29"/>
      <c r="D51" s="30" t="s">
        <v>31</v>
      </c>
      <c r="E51" s="42" t="s">
        <v>88</v>
      </c>
      <c r="F51" s="107">
        <v>91</v>
      </c>
      <c r="G51" s="107">
        <f>F51*11.61/90</f>
        <v>11.739000000000001</v>
      </c>
      <c r="H51" s="107">
        <f>F51*12.06/90</f>
        <v>12.194000000000001</v>
      </c>
      <c r="I51" s="107">
        <f>F51*13.14/90</f>
        <v>13.286</v>
      </c>
      <c r="J51" s="107">
        <f>F51*207.54/90</f>
        <v>209.846</v>
      </c>
      <c r="K51" s="106" t="s">
        <v>138</v>
      </c>
      <c r="L51" s="123">
        <v>68.489999999999995</v>
      </c>
      <c r="M51" s="57"/>
    </row>
    <row r="52" spans="1:13" ht="15.75">
      <c r="A52" s="3"/>
      <c r="B52" s="4"/>
      <c r="C52" s="29"/>
      <c r="D52" s="30" t="s">
        <v>32</v>
      </c>
      <c r="E52" s="41" t="s">
        <v>127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23">
        <v>17.22</v>
      </c>
      <c r="M52" s="57"/>
    </row>
    <row r="53" spans="1:13" ht="15.75">
      <c r="A53" s="3"/>
      <c r="B53" s="4"/>
      <c r="C53" s="29"/>
      <c r="D53" s="30" t="s">
        <v>87</v>
      </c>
      <c r="E53" s="41" t="s">
        <v>41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42</v>
      </c>
      <c r="L53" s="123">
        <v>12.54</v>
      </c>
      <c r="M53" s="57"/>
    </row>
    <row r="54" spans="1:13" ht="31.5">
      <c r="A54" s="3"/>
      <c r="B54" s="4"/>
      <c r="C54" s="29"/>
      <c r="D54" s="30" t="s">
        <v>35</v>
      </c>
      <c r="E54" s="13" t="s">
        <v>36</v>
      </c>
      <c r="F54" s="107">
        <v>42</v>
      </c>
      <c r="G54" s="107">
        <f>SUM(F54*3.16/40)</f>
        <v>3.3180000000000001</v>
      </c>
      <c r="H54" s="107">
        <f>SUM(F54*0.4/40)</f>
        <v>0.42000000000000004</v>
      </c>
      <c r="I54" s="107">
        <f>SUM(F54*19.32/40)</f>
        <v>20.286000000000001</v>
      </c>
      <c r="J54" s="107">
        <f>SUM(F54*93.52/40)</f>
        <v>98.195999999999998</v>
      </c>
      <c r="K54" s="108" t="s">
        <v>25</v>
      </c>
      <c r="L54" s="123">
        <v>4.45</v>
      </c>
      <c r="M54" s="57"/>
    </row>
    <row r="55" spans="1:13" ht="15.75">
      <c r="A55" s="3"/>
      <c r="B55" s="4"/>
      <c r="C55" s="29"/>
      <c r="D55" s="30" t="s">
        <v>37</v>
      </c>
      <c r="E55" s="42" t="s">
        <v>128</v>
      </c>
      <c r="F55" s="107">
        <v>30</v>
      </c>
      <c r="G55" s="107">
        <f>SUM(F55*1.68/30)</f>
        <v>1.68</v>
      </c>
      <c r="H55" s="107">
        <f>SUM(F55*0.33/30)</f>
        <v>0.33</v>
      </c>
      <c r="I55" s="107">
        <f>SUM(F55*14.82/30)</f>
        <v>14.82</v>
      </c>
      <c r="J55" s="107">
        <f>SUM(F55*68.97/30)</f>
        <v>68.97</v>
      </c>
      <c r="K55" s="108" t="s">
        <v>25</v>
      </c>
      <c r="L55" s="123">
        <v>2.95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23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23"/>
      <c r="M57" s="57"/>
    </row>
    <row r="58" spans="1:13" ht="15.75">
      <c r="A58" s="23"/>
      <c r="B58" s="24"/>
      <c r="C58" s="32"/>
      <c r="D58" s="33" t="s">
        <v>27</v>
      </c>
      <c r="E58" s="60"/>
      <c r="F58" s="61">
        <f>SUM(F49:F57)</f>
        <v>773</v>
      </c>
      <c r="G58" s="61">
        <f>SUM(G49:G57)-0.01</f>
        <v>25.437000000000001</v>
      </c>
      <c r="H58" s="61">
        <f>SUM(H49:H57)</f>
        <v>27.324000000000002</v>
      </c>
      <c r="I58" s="61">
        <f>SUM(I49:I57)</f>
        <v>104.232</v>
      </c>
      <c r="J58" s="61">
        <f t="shared" ref="J58" si="4">SUM(J49:J57)</f>
        <v>765.85200000000009</v>
      </c>
      <c r="K58" s="80"/>
      <c r="L58" s="124">
        <f>SUM(L49:L57)+0.01</f>
        <v>145.04999999999995</v>
      </c>
      <c r="M58" s="57"/>
    </row>
    <row r="59" spans="1:13" ht="16.5" thickBot="1">
      <c r="A59" s="25">
        <f>A41</f>
        <v>1</v>
      </c>
      <c r="B59" s="26">
        <f>B41</f>
        <v>3</v>
      </c>
      <c r="C59" s="142" t="s">
        <v>38</v>
      </c>
      <c r="D59" s="143"/>
      <c r="E59" s="64"/>
      <c r="F59" s="66">
        <f>F48+F58</f>
        <v>1323</v>
      </c>
      <c r="G59" s="66">
        <f>G48+G58</f>
        <v>56.521000000000001</v>
      </c>
      <c r="H59" s="66">
        <f t="shared" ref="H59" si="5">H48+H58</f>
        <v>51.410000000000004</v>
      </c>
      <c r="I59" s="66">
        <f t="shared" ref="I59" si="6">I48+I58</f>
        <v>192.73999999999998</v>
      </c>
      <c r="J59" s="66">
        <f t="shared" ref="J59:L59" si="7">J48+J58</f>
        <v>1462.7840000000001</v>
      </c>
      <c r="K59" s="81"/>
      <c r="L59" s="125">
        <f t="shared" si="7"/>
        <v>270.08999999999997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96</v>
      </c>
      <c r="F60" s="105">
        <v>220</v>
      </c>
      <c r="G60" s="105">
        <f>F60*15.7/200</f>
        <v>17.27</v>
      </c>
      <c r="H60" s="105">
        <f>F60*15.7/200</f>
        <v>17.27</v>
      </c>
      <c r="I60" s="105">
        <f>F60*19.8/200</f>
        <v>21.78</v>
      </c>
      <c r="J60" s="105">
        <f>F60*283.3/200</f>
        <v>311.63</v>
      </c>
      <c r="K60" s="106">
        <v>44263</v>
      </c>
      <c r="L60" s="127">
        <v>93.3</v>
      </c>
      <c r="M60" s="57"/>
    </row>
    <row r="61" spans="1:13" ht="15.75">
      <c r="A61" s="3"/>
      <c r="B61" s="4"/>
      <c r="C61" s="29"/>
      <c r="D61" s="30" t="s">
        <v>23</v>
      </c>
      <c r="E61" s="42" t="s">
        <v>97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98</v>
      </c>
      <c r="L61" s="128">
        <v>7.12</v>
      </c>
      <c r="M61" s="57"/>
    </row>
    <row r="62" spans="1:13" ht="31.5">
      <c r="A62" s="3"/>
      <c r="B62" s="4"/>
      <c r="C62" s="29"/>
      <c r="D62" s="30" t="s">
        <v>35</v>
      </c>
      <c r="E62" s="13" t="s">
        <v>36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25</v>
      </c>
      <c r="L62" s="128">
        <v>5.32</v>
      </c>
      <c r="M62" s="57"/>
    </row>
    <row r="63" spans="1:13" ht="17.25" customHeight="1" thickBot="1">
      <c r="A63" s="3"/>
      <c r="B63" s="4"/>
      <c r="C63" s="29"/>
      <c r="D63" s="30" t="s">
        <v>37</v>
      </c>
      <c r="E63" s="42" t="s">
        <v>128</v>
      </c>
      <c r="F63" s="107">
        <v>50</v>
      </c>
      <c r="G63" s="107">
        <f>SUM(F63*2.8/50)</f>
        <v>2.8</v>
      </c>
      <c r="H63" s="107">
        <f>SUM(F63*0.55/50)</f>
        <v>0.55000000000000004</v>
      </c>
      <c r="I63" s="107">
        <f>SUM(F63*24.7/50)</f>
        <v>24.7</v>
      </c>
      <c r="J63" s="107">
        <f>SUM(F63*114.95/50)</f>
        <v>114.95</v>
      </c>
      <c r="K63" s="114" t="s">
        <v>25</v>
      </c>
      <c r="L63" s="123">
        <v>4.92</v>
      </c>
      <c r="M63" s="57"/>
    </row>
    <row r="64" spans="1:13" ht="21" customHeight="1" thickBot="1">
      <c r="A64" s="3"/>
      <c r="B64" s="4"/>
      <c r="C64" s="29"/>
      <c r="D64" s="30"/>
      <c r="E64" s="115" t="s">
        <v>152</v>
      </c>
      <c r="F64" s="116">
        <v>34</v>
      </c>
      <c r="G64" s="116">
        <f>F64*1/100</f>
        <v>0.34</v>
      </c>
      <c r="H64" s="116">
        <f>F64*0.2/100</f>
        <v>6.8000000000000005E-2</v>
      </c>
      <c r="I64" s="116">
        <f>F64*3.8/100</f>
        <v>1.2919999999999998</v>
      </c>
      <c r="J64" s="116">
        <f>F64*124/100</f>
        <v>42.16</v>
      </c>
      <c r="K64" s="117" t="s">
        <v>153</v>
      </c>
      <c r="L64" s="123">
        <v>14.4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23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23"/>
      <c r="M66" s="57"/>
    </row>
    <row r="67" spans="1:13" ht="15.75">
      <c r="A67" s="23"/>
      <c r="B67" s="24"/>
      <c r="C67" s="32"/>
      <c r="D67" s="33" t="s">
        <v>27</v>
      </c>
      <c r="E67" s="60"/>
      <c r="F67" s="61">
        <f>SUM(F60:F66)</f>
        <v>554</v>
      </c>
      <c r="G67" s="61">
        <f t="shared" ref="G67" si="8">SUM(G60:G66)</f>
        <v>24.46</v>
      </c>
      <c r="H67" s="61">
        <f t="shared" ref="H67" si="9">SUM(H60:H66)</f>
        <v>18.388000000000002</v>
      </c>
      <c r="I67" s="61">
        <f t="shared" ref="I67" si="10">SUM(I60:I66)</f>
        <v>81.822000000000003</v>
      </c>
      <c r="J67" s="61">
        <f t="shared" ref="J67" si="11">SUM(J60:J66)</f>
        <v>625.64</v>
      </c>
      <c r="K67" s="80"/>
      <c r="L67" s="124">
        <f>SUM(L60:L66)-0.01</f>
        <v>125.05000000000001</v>
      </c>
      <c r="M67" s="57"/>
    </row>
    <row r="68" spans="1:13" ht="55.5" customHeight="1">
      <c r="A68" s="5">
        <f>A60</f>
        <v>1</v>
      </c>
      <c r="B68" s="6">
        <f>B60</f>
        <v>4</v>
      </c>
      <c r="C68" s="34" t="s">
        <v>28</v>
      </c>
      <c r="D68" s="30" t="s">
        <v>29</v>
      </c>
      <c r="E68" s="42" t="s">
        <v>154</v>
      </c>
      <c r="F68" s="105">
        <v>60</v>
      </c>
      <c r="G68" s="105">
        <f>F68*1.02/60</f>
        <v>1.02</v>
      </c>
      <c r="H68" s="105">
        <f>F68*3.6/60</f>
        <v>3.6</v>
      </c>
      <c r="I68" s="105">
        <f>4.74*F68/60</f>
        <v>4.74</v>
      </c>
      <c r="J68" s="105">
        <f>F68*55.44/60</f>
        <v>55.439999999999991</v>
      </c>
      <c r="K68" s="108" t="s">
        <v>129</v>
      </c>
      <c r="L68" s="123">
        <v>9.2100000000000009</v>
      </c>
      <c r="M68" s="57"/>
    </row>
    <row r="69" spans="1:13" ht="31.5">
      <c r="A69" s="3"/>
      <c r="B69" s="4"/>
      <c r="C69" s="29"/>
      <c r="D69" s="30" t="s">
        <v>30</v>
      </c>
      <c r="E69" s="14" t="s">
        <v>130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134</v>
      </c>
      <c r="L69" s="123">
        <v>29.28</v>
      </c>
      <c r="M69" s="57"/>
    </row>
    <row r="70" spans="1:13" ht="15.75">
      <c r="A70" s="3"/>
      <c r="B70" s="4"/>
      <c r="C70" s="29"/>
      <c r="D70" s="30" t="s">
        <v>31</v>
      </c>
      <c r="E70" s="13" t="s">
        <v>40</v>
      </c>
      <c r="F70" s="107">
        <v>99</v>
      </c>
      <c r="G70" s="107">
        <f>F70*13.32/90</f>
        <v>14.652000000000001</v>
      </c>
      <c r="H70" s="107">
        <f>F70*11.16/90</f>
        <v>12.276</v>
      </c>
      <c r="I70" s="107">
        <f>F70*8.19/90</f>
        <v>9.0089999999999986</v>
      </c>
      <c r="J70" s="107">
        <f>F70*186.3/90</f>
        <v>204.93</v>
      </c>
      <c r="K70" s="108">
        <v>44325</v>
      </c>
      <c r="L70" s="123">
        <v>72.06</v>
      </c>
      <c r="M70" s="57"/>
    </row>
    <row r="71" spans="1:13" ht="15.75">
      <c r="A71" s="3"/>
      <c r="B71" s="4"/>
      <c r="C71" s="29"/>
      <c r="D71" s="30" t="s">
        <v>32</v>
      </c>
      <c r="E71" s="14" t="s">
        <v>46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63</v>
      </c>
      <c r="L71" s="123">
        <v>9.36</v>
      </c>
      <c r="M71" s="57"/>
    </row>
    <row r="72" spans="1:13" ht="15.75">
      <c r="A72" s="3"/>
      <c r="B72" s="4"/>
      <c r="C72" s="29"/>
      <c r="D72" s="30" t="s">
        <v>87</v>
      </c>
      <c r="E72" s="13" t="s">
        <v>49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23">
        <v>17.350000000000001</v>
      </c>
      <c r="M72" s="57"/>
    </row>
    <row r="73" spans="1:13" ht="31.5">
      <c r="A73" s="3"/>
      <c r="B73" s="4"/>
      <c r="C73" s="29"/>
      <c r="D73" s="30" t="s">
        <v>35</v>
      </c>
      <c r="E73" s="13" t="s">
        <v>36</v>
      </c>
      <c r="F73" s="107">
        <v>40</v>
      </c>
      <c r="G73" s="107">
        <f>SUM(F73*3.16/40)</f>
        <v>3.16</v>
      </c>
      <c r="H73" s="107">
        <f>SUM(F73*0.4/40)</f>
        <v>0.4</v>
      </c>
      <c r="I73" s="107">
        <f>SUM(F73*19.32/40)</f>
        <v>19.32</v>
      </c>
      <c r="J73" s="107">
        <f>SUM(F73*93.52/40)</f>
        <v>93.52</v>
      </c>
      <c r="K73" s="108" t="s">
        <v>25</v>
      </c>
      <c r="L73" s="123">
        <v>4.25</v>
      </c>
      <c r="M73" s="57"/>
    </row>
    <row r="74" spans="1:13" ht="15.75">
      <c r="A74" s="3"/>
      <c r="B74" s="4"/>
      <c r="C74" s="29"/>
      <c r="D74" s="30" t="s">
        <v>37</v>
      </c>
      <c r="E74" s="13" t="s">
        <v>128</v>
      </c>
      <c r="F74" s="107">
        <v>36</v>
      </c>
      <c r="G74" s="107">
        <f>SUM(F74*1.68/30)</f>
        <v>2.016</v>
      </c>
      <c r="H74" s="107">
        <f>SUM(F74*0.33/30)</f>
        <v>0.39600000000000002</v>
      </c>
      <c r="I74" s="107">
        <f>SUM(F74*14.82/30)</f>
        <v>17.783999999999999</v>
      </c>
      <c r="J74" s="107">
        <f>SUM(F74*68.97/30)</f>
        <v>82.763999999999996</v>
      </c>
      <c r="K74" s="108" t="s">
        <v>25</v>
      </c>
      <c r="L74" s="123">
        <v>3.54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23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23"/>
      <c r="M76" s="57"/>
    </row>
    <row r="77" spans="1:13" ht="15.75">
      <c r="A77" s="23"/>
      <c r="B77" s="24"/>
      <c r="C77" s="32"/>
      <c r="D77" s="33" t="s">
        <v>27</v>
      </c>
      <c r="E77" s="60"/>
      <c r="F77" s="61">
        <f>SUM(F68:F76)</f>
        <v>785</v>
      </c>
      <c r="G77" s="61">
        <f t="shared" ref="G77" si="12">SUM(G68:G76)</f>
        <v>35.437999999999995</v>
      </c>
      <c r="H77" s="61">
        <f t="shared" ref="H77" si="13">SUM(H68:H76)</f>
        <v>25.152000000000001</v>
      </c>
      <c r="I77" s="61">
        <f t="shared" ref="I77" si="14">SUM(I68:I76)</f>
        <v>106.93299999999999</v>
      </c>
      <c r="J77" s="61">
        <f t="shared" ref="J77" si="15">SUM(J68:J76)</f>
        <v>794.55399999999997</v>
      </c>
      <c r="K77" s="80"/>
      <c r="L77" s="124">
        <f>SUM(L68:L76)</f>
        <v>145.05000000000001</v>
      </c>
      <c r="M77" s="57"/>
    </row>
    <row r="78" spans="1:13" ht="16.5" thickBot="1">
      <c r="A78" s="25">
        <f>A60</f>
        <v>1</v>
      </c>
      <c r="B78" s="26">
        <f>B60</f>
        <v>4</v>
      </c>
      <c r="C78" s="142" t="s">
        <v>38</v>
      </c>
      <c r="D78" s="143"/>
      <c r="E78" s="64"/>
      <c r="F78" s="66">
        <f>F67+F77</f>
        <v>1339</v>
      </c>
      <c r="G78" s="66">
        <f t="shared" ref="G78" si="16">G67+G77</f>
        <v>59.897999999999996</v>
      </c>
      <c r="H78" s="66">
        <f t="shared" ref="H78" si="17">H67+H77</f>
        <v>43.540000000000006</v>
      </c>
      <c r="I78" s="66">
        <f t="shared" ref="I78" si="18">I67+I77</f>
        <v>188.755</v>
      </c>
      <c r="J78" s="66">
        <f t="shared" ref="J78:L78" si="19">J67+J77</f>
        <v>1420.194</v>
      </c>
      <c r="K78" s="81"/>
      <c r="L78" s="125">
        <f>L67+L77-0.01</f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22"/>
      <c r="M79" s="57"/>
    </row>
    <row r="80" spans="1:13" ht="15.75">
      <c r="A80" s="3"/>
      <c r="B80" s="4"/>
      <c r="C80" s="29"/>
      <c r="D80" s="28" t="s">
        <v>22</v>
      </c>
      <c r="E80" s="41" t="s">
        <v>99</v>
      </c>
      <c r="F80" s="105">
        <v>210</v>
      </c>
      <c r="G80" s="105">
        <f>F80*19.5/200</f>
        <v>20.475000000000001</v>
      </c>
      <c r="H80" s="105">
        <f>F80*21.2/200</f>
        <v>22.26</v>
      </c>
      <c r="I80" s="105">
        <f>F80*17.7/200</f>
        <v>18.585000000000001</v>
      </c>
      <c r="J80" s="105">
        <f>F80*339.6/200</f>
        <v>356.58</v>
      </c>
      <c r="K80" s="110" t="s">
        <v>101</v>
      </c>
      <c r="L80" s="123">
        <v>82.35</v>
      </c>
      <c r="M80" s="57"/>
    </row>
    <row r="81" spans="1:13" ht="15.75">
      <c r="A81" s="3"/>
      <c r="B81" s="4"/>
      <c r="C81" s="29"/>
      <c r="D81" s="30" t="s">
        <v>23</v>
      </c>
      <c r="E81" s="42" t="s">
        <v>100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102</v>
      </c>
      <c r="L81" s="123">
        <v>3.05</v>
      </c>
      <c r="M81" s="57"/>
    </row>
    <row r="82" spans="1:13" ht="15.75">
      <c r="A82" s="3"/>
      <c r="B82" s="4"/>
      <c r="C82" s="29"/>
      <c r="D82" s="30" t="s">
        <v>35</v>
      </c>
      <c r="E82" s="42" t="s">
        <v>26</v>
      </c>
      <c r="F82" s="104">
        <v>51</v>
      </c>
      <c r="G82" s="104">
        <f>F82*6.1/50</f>
        <v>6.2219999999999995</v>
      </c>
      <c r="H82" s="104">
        <f>F82*3.7/50</f>
        <v>3.7740000000000005</v>
      </c>
      <c r="I82" s="104">
        <f>F82*17.5/50</f>
        <v>17.850000000000001</v>
      </c>
      <c r="J82" s="104">
        <f>F82*127.7/50</f>
        <v>130.25399999999999</v>
      </c>
      <c r="K82" s="110">
        <v>44240</v>
      </c>
      <c r="L82" s="123">
        <v>34.72</v>
      </c>
      <c r="M82" s="57"/>
    </row>
    <row r="83" spans="1:13" ht="15.75">
      <c r="A83" s="3"/>
      <c r="B83" s="4"/>
      <c r="C83" s="29"/>
      <c r="D83" s="30" t="s">
        <v>37</v>
      </c>
      <c r="E83" s="13" t="s">
        <v>128</v>
      </c>
      <c r="F83" s="107">
        <v>50</v>
      </c>
      <c r="G83" s="107">
        <f>SUM(F83*2.8/50)</f>
        <v>2.8</v>
      </c>
      <c r="H83" s="107">
        <f>SUM(F83*0.55/50)</f>
        <v>0.55000000000000004</v>
      </c>
      <c r="I83" s="107">
        <f>SUM(F83*24.7/50)</f>
        <v>24.7</v>
      </c>
      <c r="J83" s="107">
        <f>SUM(F83*114.95/50)</f>
        <v>114.95</v>
      </c>
      <c r="K83" s="108" t="s">
        <v>25</v>
      </c>
      <c r="L83" s="123">
        <v>4.92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23"/>
      <c r="M84" s="57"/>
    </row>
    <row r="85" spans="1:13" ht="20.25" customHeight="1">
      <c r="A85" s="23"/>
      <c r="B85" s="24"/>
      <c r="C85" s="32"/>
      <c r="D85" s="33" t="s">
        <v>27</v>
      </c>
      <c r="E85" s="60"/>
      <c r="F85" s="61">
        <f>SUM(F80:F84)</f>
        <v>511</v>
      </c>
      <c r="G85" s="61">
        <f>SUM(G80:G84)</f>
        <v>29.597000000000005</v>
      </c>
      <c r="H85" s="61">
        <f>SUM(H80:H84)</f>
        <v>26.584000000000003</v>
      </c>
      <c r="I85" s="61">
        <f>SUM(I80:I84)</f>
        <v>70.935000000000002</v>
      </c>
      <c r="J85" s="61">
        <f>SUM(J80:J84)</f>
        <v>640.78399999999999</v>
      </c>
      <c r="K85" s="80"/>
      <c r="L85" s="124">
        <f>SUM(L80:L84)</f>
        <v>125.03999999999999</v>
      </c>
      <c r="M85" s="57"/>
    </row>
    <row r="86" spans="1:13" ht="47.25">
      <c r="A86" s="5">
        <f>A79</f>
        <v>1</v>
      </c>
      <c r="B86" s="6">
        <f>B79</f>
        <v>5</v>
      </c>
      <c r="C86" s="34" t="s">
        <v>28</v>
      </c>
      <c r="D86" s="30" t="s">
        <v>29</v>
      </c>
      <c r="E86" s="42" t="s">
        <v>103</v>
      </c>
      <c r="F86" s="105">
        <v>60</v>
      </c>
      <c r="G86" s="105">
        <f>F86*0.6/60</f>
        <v>0.6</v>
      </c>
      <c r="H86" s="105">
        <f>F86*3.6/60</f>
        <v>3.6</v>
      </c>
      <c r="I86" s="105">
        <f>F86*5.76/60</f>
        <v>5.76</v>
      </c>
      <c r="J86" s="105">
        <f>F86*57.84/60</f>
        <v>57.84</v>
      </c>
      <c r="K86" s="108" t="s">
        <v>105</v>
      </c>
      <c r="L86" s="123">
        <v>8.7100000000000009</v>
      </c>
      <c r="M86" s="57"/>
    </row>
    <row r="87" spans="1:13" ht="47.25">
      <c r="A87" s="3"/>
      <c r="B87" s="4"/>
      <c r="C87" s="29"/>
      <c r="D87" s="30" t="s">
        <v>30</v>
      </c>
      <c r="E87" s="42" t="s">
        <v>132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106</v>
      </c>
      <c r="L87" s="123">
        <v>26.62</v>
      </c>
      <c r="M87" s="57"/>
    </row>
    <row r="88" spans="1:13" ht="15.75">
      <c r="A88" s="3"/>
      <c r="B88" s="4"/>
      <c r="C88" s="29"/>
      <c r="D88" s="30" t="s">
        <v>31</v>
      </c>
      <c r="E88" s="42" t="s">
        <v>144</v>
      </c>
      <c r="F88" s="104">
        <v>92</v>
      </c>
      <c r="G88" s="107">
        <f>F88*11.7/90</f>
        <v>11.959999999999999</v>
      </c>
      <c r="H88" s="107">
        <f>F88*11.61/90</f>
        <v>11.867999999999999</v>
      </c>
      <c r="I88" s="107">
        <f>F88*5.76/90</f>
        <v>5.8879999999999999</v>
      </c>
      <c r="J88" s="107">
        <f>F88*174.6/90</f>
        <v>178.48</v>
      </c>
      <c r="K88" s="108" t="s">
        <v>107</v>
      </c>
      <c r="L88" s="123">
        <v>70.28</v>
      </c>
      <c r="M88" s="57"/>
    </row>
    <row r="89" spans="1:13" ht="15.75">
      <c r="A89" s="3"/>
      <c r="B89" s="4"/>
      <c r="C89" s="29"/>
      <c r="D89" s="30" t="s">
        <v>32</v>
      </c>
      <c r="E89" s="41" t="s">
        <v>51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23">
        <v>22.98</v>
      </c>
      <c r="M89" s="57"/>
    </row>
    <row r="90" spans="1:13" ht="15.75">
      <c r="A90" s="3"/>
      <c r="B90" s="4"/>
      <c r="C90" s="29"/>
      <c r="D90" s="30" t="s">
        <v>87</v>
      </c>
      <c r="E90" s="42" t="s">
        <v>54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55</v>
      </c>
      <c r="L90" s="123">
        <v>7.66</v>
      </c>
      <c r="M90" s="57"/>
    </row>
    <row r="91" spans="1:13" ht="31.5">
      <c r="A91" s="3"/>
      <c r="B91" s="4"/>
      <c r="C91" s="29"/>
      <c r="D91" s="30" t="s">
        <v>35</v>
      </c>
      <c r="E91" s="13" t="s">
        <v>36</v>
      </c>
      <c r="F91" s="107">
        <v>55</v>
      </c>
      <c r="G91" s="107">
        <f>SUM(F91*3.95/50)</f>
        <v>4.3449999999999998</v>
      </c>
      <c r="H91" s="107">
        <f>SUM(F91*0.5/50)</f>
        <v>0.55000000000000004</v>
      </c>
      <c r="I91" s="107">
        <f>SUM(F91*24.15/50)</f>
        <v>26.565000000000001</v>
      </c>
      <c r="J91" s="107">
        <f>SUM(F91*116.9/50)</f>
        <v>128.59</v>
      </c>
      <c r="K91" s="108" t="s">
        <v>25</v>
      </c>
      <c r="L91" s="123">
        <v>5.85</v>
      </c>
      <c r="M91" s="57"/>
    </row>
    <row r="92" spans="1:13" ht="15.75">
      <c r="A92" s="3"/>
      <c r="B92" s="4"/>
      <c r="C92" s="29"/>
      <c r="D92" s="30" t="s">
        <v>37</v>
      </c>
      <c r="E92" s="42" t="s">
        <v>128</v>
      </c>
      <c r="F92" s="107">
        <v>30</v>
      </c>
      <c r="G92" s="107">
        <f>SUM(F92*1.68/30)</f>
        <v>1.68</v>
      </c>
      <c r="H92" s="107">
        <f>SUM(F92*0.33/30)</f>
        <v>0.33</v>
      </c>
      <c r="I92" s="107">
        <f>SUM(F92*14.82/30)</f>
        <v>14.82</v>
      </c>
      <c r="J92" s="107">
        <f>SUM(F92*68.97/30)</f>
        <v>68.97</v>
      </c>
      <c r="K92" s="108" t="s">
        <v>25</v>
      </c>
      <c r="L92" s="123">
        <v>2.95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23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23"/>
      <c r="M94" s="57"/>
    </row>
    <row r="95" spans="1:13" ht="21" customHeight="1">
      <c r="A95" s="23"/>
      <c r="B95" s="24"/>
      <c r="C95" s="32"/>
      <c r="D95" s="33" t="s">
        <v>27</v>
      </c>
      <c r="E95" s="60"/>
      <c r="F95" s="61">
        <f>SUM(F86:F94)</f>
        <v>787</v>
      </c>
      <c r="G95" s="61">
        <f>SUM(G86:G94)</f>
        <v>25.374999999999996</v>
      </c>
      <c r="H95" s="61">
        <f t="shared" ref="H95" si="20">SUM(H86:H94)</f>
        <v>25.908000000000001</v>
      </c>
      <c r="I95" s="61">
        <f t="shared" ref="I95" si="21">SUM(I86:I94)</f>
        <v>94.332999999999998</v>
      </c>
      <c r="J95" s="61">
        <f t="shared" ref="J95" si="22">SUM(J86:J94)</f>
        <v>713.80000000000007</v>
      </c>
      <c r="K95" s="80"/>
      <c r="L95" s="124">
        <f>SUM(L86:L94)</f>
        <v>145.04999999999998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42" t="s">
        <v>38</v>
      </c>
      <c r="D96" s="143"/>
      <c r="E96" s="64"/>
      <c r="F96" s="66">
        <f>F85+F95</f>
        <v>1298</v>
      </c>
      <c r="G96" s="66">
        <f>G85+G95</f>
        <v>54.972000000000001</v>
      </c>
      <c r="H96" s="66">
        <f t="shared" ref="H96" si="23">H85+H95</f>
        <v>52.492000000000004</v>
      </c>
      <c r="I96" s="66">
        <f t="shared" ref="I96" si="24">I85+I95</f>
        <v>165.268</v>
      </c>
      <c r="J96" s="66">
        <f>J85+J95+0.01</f>
        <v>1354.5940000000001</v>
      </c>
      <c r="K96" s="81"/>
      <c r="L96" s="125">
        <f t="shared" ref="L96" si="25">L85+L95</f>
        <v>270.08999999999997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108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22">
        <v>33.53</v>
      </c>
      <c r="M97" s="57"/>
    </row>
    <row r="98" spans="1:13" ht="15.75">
      <c r="A98" s="3"/>
      <c r="B98" s="4"/>
      <c r="C98" s="29"/>
      <c r="D98" s="31" t="s">
        <v>58</v>
      </c>
      <c r="E98" s="42" t="s">
        <v>76</v>
      </c>
      <c r="F98" s="107">
        <v>100</v>
      </c>
      <c r="G98" s="107">
        <v>0.4</v>
      </c>
      <c r="H98" s="107">
        <v>0.4</v>
      </c>
      <c r="I98" s="107">
        <v>10.95</v>
      </c>
      <c r="J98" s="107">
        <v>49</v>
      </c>
      <c r="K98" s="108" t="s">
        <v>25</v>
      </c>
      <c r="L98" s="123">
        <v>32.479999999999997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57</v>
      </c>
      <c r="L99" s="123">
        <v>21.99</v>
      </c>
      <c r="M99" s="57"/>
    </row>
    <row r="100" spans="1:13" ht="15.75">
      <c r="A100" s="3"/>
      <c r="B100" s="4"/>
      <c r="C100" s="29"/>
      <c r="D100" s="31" t="s">
        <v>35</v>
      </c>
      <c r="E100" s="42" t="s">
        <v>26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23">
        <v>34.090000000000003</v>
      </c>
      <c r="M100" s="57"/>
    </row>
    <row r="101" spans="1:13" ht="15.75">
      <c r="A101" s="3"/>
      <c r="B101" s="4"/>
      <c r="C101" s="29"/>
      <c r="D101" s="30" t="s">
        <v>37</v>
      </c>
      <c r="E101" s="42" t="s">
        <v>128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25</v>
      </c>
      <c r="L101" s="123">
        <v>2.95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23"/>
      <c r="M102" s="57"/>
    </row>
    <row r="103" spans="1:13" ht="15.75">
      <c r="A103" s="23"/>
      <c r="B103" s="24"/>
      <c r="C103" s="32"/>
      <c r="D103" s="33" t="s">
        <v>27</v>
      </c>
      <c r="E103" s="60"/>
      <c r="F103" s="61">
        <f t="shared" ref="F103:J103" si="26">SUM(F97:F102)</f>
        <v>580</v>
      </c>
      <c r="G103" s="61">
        <f t="shared" si="26"/>
        <v>16.78</v>
      </c>
      <c r="H103" s="61">
        <f t="shared" si="26"/>
        <v>17.529999999999998</v>
      </c>
      <c r="I103" s="61">
        <f t="shared" si="26"/>
        <v>96.93</v>
      </c>
      <c r="J103" s="61">
        <f t="shared" si="26"/>
        <v>612.81000000000006</v>
      </c>
      <c r="K103" s="80"/>
      <c r="L103" s="124">
        <f>SUM(L97:L102)</f>
        <v>125.03999999999999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28</v>
      </c>
      <c r="D104" s="30" t="s">
        <v>29</v>
      </c>
      <c r="E104" s="14" t="s">
        <v>155</v>
      </c>
      <c r="F104" s="107">
        <v>60</v>
      </c>
      <c r="G104" s="107">
        <f>F104*1.5/60</f>
        <v>1.5</v>
      </c>
      <c r="H104" s="107">
        <f>F104*6/60</f>
        <v>6</v>
      </c>
      <c r="I104" s="107">
        <f>F104*4.25/60</f>
        <v>4.25</v>
      </c>
      <c r="J104" s="107">
        <f>F104*76.8/60</f>
        <v>76.8</v>
      </c>
      <c r="K104" s="110">
        <v>44409</v>
      </c>
      <c r="L104" s="129">
        <v>16.23</v>
      </c>
      <c r="M104" s="57"/>
    </row>
    <row r="105" spans="1:13" ht="31.5">
      <c r="A105" s="3"/>
      <c r="B105" s="4"/>
      <c r="C105" s="29"/>
      <c r="D105" s="30" t="s">
        <v>30</v>
      </c>
      <c r="E105" s="14" t="s">
        <v>142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82</v>
      </c>
      <c r="L105" s="129">
        <v>32.880000000000003</v>
      </c>
      <c r="M105" s="57"/>
    </row>
    <row r="106" spans="1:13" ht="15.75">
      <c r="A106" s="3"/>
      <c r="B106" s="4"/>
      <c r="C106" s="29"/>
      <c r="D106" s="30" t="s">
        <v>81</v>
      </c>
      <c r="E106" s="13" t="s">
        <v>75</v>
      </c>
      <c r="F106" s="107">
        <v>20</v>
      </c>
      <c r="G106" s="107">
        <f>F106*1.71/20</f>
        <v>1.7100000000000002</v>
      </c>
      <c r="H106" s="107">
        <f>F106*0.17/20</f>
        <v>0.17</v>
      </c>
      <c r="I106" s="107">
        <f>F106*10.75/20</f>
        <v>10.75</v>
      </c>
      <c r="J106" s="107">
        <f>F106*51.4/20</f>
        <v>51.4</v>
      </c>
      <c r="K106" s="110" t="s">
        <v>83</v>
      </c>
      <c r="L106" s="129">
        <v>2.5499999999999998</v>
      </c>
      <c r="M106" s="57"/>
    </row>
    <row r="107" spans="1:13" ht="15.75">
      <c r="A107" s="3"/>
      <c r="B107" s="4"/>
      <c r="C107" s="29"/>
      <c r="D107" s="30" t="s">
        <v>31</v>
      </c>
      <c r="E107" s="13" t="s">
        <v>40</v>
      </c>
      <c r="F107" s="107">
        <v>94</v>
      </c>
      <c r="G107" s="107">
        <f>F107*13.32/90</f>
        <v>13.911999999999999</v>
      </c>
      <c r="H107" s="107">
        <f>F107*11.16/90</f>
        <v>11.655999999999999</v>
      </c>
      <c r="I107" s="107">
        <f>F107*8.19/90</f>
        <v>8.5539999999999985</v>
      </c>
      <c r="J107" s="107">
        <f>F107*186.3/90</f>
        <v>194.58</v>
      </c>
      <c r="K107" s="108">
        <v>44325</v>
      </c>
      <c r="L107" s="129">
        <v>68.400000000000006</v>
      </c>
      <c r="M107" s="57"/>
    </row>
    <row r="108" spans="1:13" ht="15.75">
      <c r="A108" s="3"/>
      <c r="B108" s="4"/>
      <c r="C108" s="29"/>
      <c r="D108" s="30" t="s">
        <v>32</v>
      </c>
      <c r="E108" s="14" t="s">
        <v>46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63</v>
      </c>
      <c r="L108" s="129">
        <v>9.36</v>
      </c>
      <c r="M108" s="57"/>
    </row>
    <row r="109" spans="1:13" ht="15.75">
      <c r="A109" s="3"/>
      <c r="B109" s="4"/>
      <c r="C109" s="29"/>
      <c r="D109" s="30" t="s">
        <v>87</v>
      </c>
      <c r="E109" s="41" t="s">
        <v>109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110</v>
      </c>
      <c r="L109" s="129">
        <v>12.38</v>
      </c>
      <c r="M109" s="57"/>
    </row>
    <row r="110" spans="1:13" ht="15.75">
      <c r="A110" s="3"/>
      <c r="B110" s="4"/>
      <c r="C110" s="29"/>
      <c r="D110" s="30" t="s">
        <v>37</v>
      </c>
      <c r="E110" s="13" t="s">
        <v>128</v>
      </c>
      <c r="F110" s="107">
        <v>33</v>
      </c>
      <c r="G110" s="107">
        <f>SUM(F110*1.68/30)</f>
        <v>1.8479999999999999</v>
      </c>
      <c r="H110" s="107">
        <f>SUM(F110*0.33/30)</f>
        <v>0.36300000000000004</v>
      </c>
      <c r="I110" s="107">
        <f>SUM(F110*14.82/30)</f>
        <v>16.302</v>
      </c>
      <c r="J110" s="107">
        <f>SUM(F110*68.97/30)</f>
        <v>75.86699999999999</v>
      </c>
      <c r="K110" s="110" t="s">
        <v>39</v>
      </c>
      <c r="L110" s="129">
        <v>3.25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29"/>
      <c r="M111" s="57"/>
    </row>
    <row r="112" spans="1:13" ht="15.75">
      <c r="A112" s="23"/>
      <c r="B112" s="24"/>
      <c r="C112" s="32"/>
      <c r="D112" s="33" t="s">
        <v>27</v>
      </c>
      <c r="E112" s="60"/>
      <c r="F112" s="61">
        <f t="shared" ref="F112:J112" si="27">SUM(F104:F111)</f>
        <v>757</v>
      </c>
      <c r="G112" s="61">
        <f t="shared" si="27"/>
        <v>31.06</v>
      </c>
      <c r="H112" s="61">
        <f t="shared" si="27"/>
        <v>27.288999999999998</v>
      </c>
      <c r="I112" s="61">
        <f>SUM(I104:I111)-0.01</f>
        <v>114.08599999999997</v>
      </c>
      <c r="J112" s="61">
        <f t="shared" si="27"/>
        <v>826.14699999999993</v>
      </c>
      <c r="K112" s="80"/>
      <c r="L112" s="124">
        <f>SUM(L104:L111)</f>
        <v>145.05000000000001</v>
      </c>
      <c r="M112" s="57"/>
    </row>
    <row r="113" spans="1:16" ht="16.5" thickBot="1">
      <c r="A113" s="25">
        <f>A97</f>
        <v>2</v>
      </c>
      <c r="B113" s="26">
        <f>B97</f>
        <v>1</v>
      </c>
      <c r="C113" s="142" t="s">
        <v>38</v>
      </c>
      <c r="D113" s="143"/>
      <c r="E113" s="64"/>
      <c r="F113" s="66">
        <f>F103+F112</f>
        <v>1337</v>
      </c>
      <c r="G113" s="66">
        <f>G103+G112</f>
        <v>47.84</v>
      </c>
      <c r="H113" s="66">
        <f>H103+H112</f>
        <v>44.818999999999996</v>
      </c>
      <c r="I113" s="66">
        <f>I103+I112</f>
        <v>211.01599999999996</v>
      </c>
      <c r="J113" s="66">
        <f>J103+J112</f>
        <v>1438.9569999999999</v>
      </c>
      <c r="K113" s="81"/>
      <c r="L113" s="125">
        <f>L103+L112</f>
        <v>270.09000000000003</v>
      </c>
      <c r="M113" s="57"/>
    </row>
    <row r="114" spans="1:16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89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22">
        <v>89.53</v>
      </c>
      <c r="M114" s="57"/>
      <c r="P114" s="46">
        <v>23.76</v>
      </c>
    </row>
    <row r="115" spans="1:16" ht="15.75">
      <c r="A115" s="7"/>
      <c r="B115" s="4"/>
      <c r="C115" s="29"/>
      <c r="D115" s="30" t="s">
        <v>35</v>
      </c>
      <c r="E115" s="13" t="s">
        <v>62</v>
      </c>
      <c r="F115" s="107">
        <v>71</v>
      </c>
      <c r="G115" s="107">
        <f>F115*4.48/70</f>
        <v>4.5440000000000005</v>
      </c>
      <c r="H115" s="107">
        <f>F115*10.78/70</f>
        <v>10.933999999999999</v>
      </c>
      <c r="I115" s="107">
        <f>F115*27.3/70</f>
        <v>27.689999999999998</v>
      </c>
      <c r="J115" s="107">
        <f>F115*224/70</f>
        <v>227.2</v>
      </c>
      <c r="K115" s="108">
        <v>44209</v>
      </c>
      <c r="L115" s="123">
        <v>26.49</v>
      </c>
      <c r="M115" s="57"/>
    </row>
    <row r="116" spans="1:16" ht="15.75">
      <c r="A116" s="7"/>
      <c r="B116" s="4"/>
      <c r="C116" s="29"/>
      <c r="D116" s="30" t="s">
        <v>23</v>
      </c>
      <c r="E116" s="13" t="s">
        <v>60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61</v>
      </c>
      <c r="L116" s="123">
        <v>3.91</v>
      </c>
      <c r="M116" s="57"/>
    </row>
    <row r="117" spans="1:16" ht="15.75">
      <c r="A117" s="7"/>
      <c r="B117" s="4"/>
      <c r="C117" s="29"/>
      <c r="D117" s="30" t="s">
        <v>37</v>
      </c>
      <c r="E117" s="13" t="s">
        <v>128</v>
      </c>
      <c r="F117" s="107">
        <v>52</v>
      </c>
      <c r="G117" s="107">
        <f>SUM(F117*2.8/50)</f>
        <v>2.9119999999999999</v>
      </c>
      <c r="H117" s="107">
        <f>SUM(F117*0.55/50)</f>
        <v>0.57200000000000006</v>
      </c>
      <c r="I117" s="107">
        <f>SUM(F117*24.7/50)</f>
        <v>25.687999999999999</v>
      </c>
      <c r="J117" s="107">
        <f>SUM(F117*114.95/50)</f>
        <v>119.54800000000002</v>
      </c>
      <c r="K117" s="108" t="s">
        <v>25</v>
      </c>
      <c r="L117" s="123">
        <v>5.12</v>
      </c>
      <c r="M117" s="57"/>
    </row>
    <row r="118" spans="1:16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23"/>
      <c r="M118" s="57"/>
    </row>
    <row r="119" spans="1:16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23"/>
      <c r="M119" s="57"/>
    </row>
    <row r="120" spans="1:16" ht="15.75">
      <c r="A120" s="35"/>
      <c r="B120" s="24"/>
      <c r="C120" s="32"/>
      <c r="D120" s="33" t="s">
        <v>27</v>
      </c>
      <c r="E120" s="60"/>
      <c r="F120" s="61">
        <f>SUM(F114:F119)</f>
        <v>543</v>
      </c>
      <c r="G120" s="61">
        <f>SUM(G114:G119)</f>
        <v>44.836000000000006</v>
      </c>
      <c r="H120" s="61">
        <f>SUM(H114:H119)</f>
        <v>32.626000000000005</v>
      </c>
      <c r="I120" s="61">
        <f>SUM(I114:I119)</f>
        <v>96.118000000000009</v>
      </c>
      <c r="J120" s="61">
        <f>SUM(J114:J119)</f>
        <v>858.14799999999991</v>
      </c>
      <c r="K120" s="80"/>
      <c r="L120" s="124">
        <f>SUM(L114:L119)-0.01</f>
        <v>125.03999999999999</v>
      </c>
      <c r="M120" s="57"/>
    </row>
    <row r="121" spans="1:16" ht="15.75">
      <c r="A121" s="6">
        <f>A114</f>
        <v>2</v>
      </c>
      <c r="B121" s="6">
        <f>B114</f>
        <v>2</v>
      </c>
      <c r="C121" s="34" t="s">
        <v>28</v>
      </c>
      <c r="D121" s="30" t="s">
        <v>29</v>
      </c>
      <c r="E121" s="14" t="s">
        <v>65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23">
        <v>11.24</v>
      </c>
      <c r="M121" s="57"/>
    </row>
    <row r="122" spans="1:16" ht="31.5">
      <c r="A122" s="7"/>
      <c r="B122" s="4"/>
      <c r="C122" s="29"/>
      <c r="D122" s="30" t="s">
        <v>30</v>
      </c>
      <c r="E122" s="38" t="s">
        <v>150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23">
        <v>33.520000000000003</v>
      </c>
      <c r="M122" s="57"/>
    </row>
    <row r="123" spans="1:16" ht="31.5">
      <c r="A123" s="7"/>
      <c r="B123" s="4"/>
      <c r="C123" s="29"/>
      <c r="D123" s="30" t="s">
        <v>31</v>
      </c>
      <c r="E123" s="42" t="s">
        <v>104</v>
      </c>
      <c r="F123" s="104">
        <v>91</v>
      </c>
      <c r="G123" s="107">
        <f>F123*11.7/90</f>
        <v>11.83</v>
      </c>
      <c r="H123" s="107">
        <f>F123*11.61/90</f>
        <v>11.739000000000001</v>
      </c>
      <c r="I123" s="107">
        <f>F123*5.76/90</f>
        <v>5.8239999999999998</v>
      </c>
      <c r="J123" s="107">
        <f>F123*174.6/90</f>
        <v>176.54</v>
      </c>
      <c r="K123" s="110" t="s">
        <v>107</v>
      </c>
      <c r="L123" s="123">
        <v>69.5</v>
      </c>
      <c r="M123" s="57"/>
    </row>
    <row r="124" spans="1:16" ht="15.75">
      <c r="A124" s="7"/>
      <c r="B124" s="4"/>
      <c r="C124" s="29"/>
      <c r="D124" s="30" t="s">
        <v>32</v>
      </c>
      <c r="E124" s="42" t="s">
        <v>33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68</v>
      </c>
      <c r="L124" s="123">
        <v>9.5500000000000007</v>
      </c>
      <c r="M124" s="57"/>
    </row>
    <row r="125" spans="1:16" ht="15.75">
      <c r="A125" s="7"/>
      <c r="B125" s="4"/>
      <c r="C125" s="29"/>
      <c r="D125" s="30" t="s">
        <v>87</v>
      </c>
      <c r="E125" s="42" t="s">
        <v>111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112</v>
      </c>
      <c r="L125" s="123">
        <v>14.71</v>
      </c>
      <c r="M125" s="57"/>
    </row>
    <row r="126" spans="1:16" ht="31.5">
      <c r="A126" s="7"/>
      <c r="B126" s="4"/>
      <c r="C126" s="29"/>
      <c r="D126" s="30" t="s">
        <v>35</v>
      </c>
      <c r="E126" s="13" t="s">
        <v>36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25</v>
      </c>
      <c r="L126" s="123">
        <v>3.19</v>
      </c>
      <c r="M126" s="57"/>
    </row>
    <row r="127" spans="1:16" ht="15.75">
      <c r="A127" s="7"/>
      <c r="B127" s="4"/>
      <c r="C127" s="29"/>
      <c r="D127" s="30" t="s">
        <v>37</v>
      </c>
      <c r="E127" s="42" t="s">
        <v>128</v>
      </c>
      <c r="F127" s="107">
        <v>34</v>
      </c>
      <c r="G127" s="107">
        <f>SUM(F127*1.68/30)</f>
        <v>1.9039999999999999</v>
      </c>
      <c r="H127" s="107">
        <f>SUM(F127*0.33/30)</f>
        <v>0.374</v>
      </c>
      <c r="I127" s="107">
        <f>SUM(F127*14.82/30)</f>
        <v>16.795999999999999</v>
      </c>
      <c r="J127" s="107">
        <f>SUM(F127*68.97/30)</f>
        <v>78.165999999999997</v>
      </c>
      <c r="K127" s="110" t="s">
        <v>25</v>
      </c>
      <c r="L127" s="123">
        <v>3.35</v>
      </c>
      <c r="M127" s="57"/>
    </row>
    <row r="128" spans="1:16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23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23"/>
      <c r="M129" s="57"/>
    </row>
    <row r="130" spans="1:13" ht="15.75">
      <c r="A130" s="35"/>
      <c r="B130" s="24"/>
      <c r="C130" s="32"/>
      <c r="D130" s="33" t="s">
        <v>27</v>
      </c>
      <c r="E130" s="60"/>
      <c r="F130" s="61">
        <f>SUM(F121:F129)</f>
        <v>765</v>
      </c>
      <c r="G130" s="61">
        <f>SUM(G121:G129)</f>
        <v>26.513999999999996</v>
      </c>
      <c r="H130" s="61">
        <f t="shared" ref="H130:J130" si="28">SUM(H121:H129)</f>
        <v>27.172999999999998</v>
      </c>
      <c r="I130" s="61">
        <f t="shared" si="28"/>
        <v>106.10999999999999</v>
      </c>
      <c r="J130" s="61">
        <f t="shared" si="28"/>
        <v>775.39599999999996</v>
      </c>
      <c r="K130" s="80"/>
      <c r="L130" s="124">
        <f>SUM(L121:L129)-0.01</f>
        <v>145.05000000000001</v>
      </c>
      <c r="M130" s="57"/>
    </row>
    <row r="131" spans="1:13" ht="16.5" thickBot="1">
      <c r="A131" s="36">
        <f>A114</f>
        <v>2</v>
      </c>
      <c r="B131" s="36">
        <f>B114</f>
        <v>2</v>
      </c>
      <c r="C131" s="142" t="s">
        <v>38</v>
      </c>
      <c r="D131" s="143"/>
      <c r="E131" s="64"/>
      <c r="F131" s="66">
        <f>F120+F130</f>
        <v>1308</v>
      </c>
      <c r="G131" s="66">
        <f>G120+G130</f>
        <v>71.349999999999994</v>
      </c>
      <c r="H131" s="66">
        <f t="shared" ref="H131" si="29">H120+H130</f>
        <v>59.799000000000007</v>
      </c>
      <c r="I131" s="66">
        <f t="shared" ref="I131" si="30">I120+I130</f>
        <v>202.22800000000001</v>
      </c>
      <c r="J131" s="66">
        <f t="shared" ref="J131" si="31">J120+J130</f>
        <v>1633.5439999999999</v>
      </c>
      <c r="K131" s="81"/>
      <c r="L131" s="125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31</v>
      </c>
      <c r="E132" s="14" t="s">
        <v>67</v>
      </c>
      <c r="F132" s="107">
        <v>100</v>
      </c>
      <c r="G132" s="107">
        <f>F132*10.44/90</f>
        <v>11.6</v>
      </c>
      <c r="H132" s="107">
        <f>F132*10.89/90</f>
        <v>12.1</v>
      </c>
      <c r="I132" s="107">
        <f>F132*10.08/90</f>
        <v>11.2</v>
      </c>
      <c r="J132" s="107">
        <f>F132*180/90</f>
        <v>200</v>
      </c>
      <c r="K132" s="12">
        <v>44236</v>
      </c>
      <c r="L132" s="122">
        <v>70.180000000000007</v>
      </c>
      <c r="M132" s="57"/>
    </row>
    <row r="133" spans="1:13" ht="31.5">
      <c r="A133" s="3"/>
      <c r="B133" s="4"/>
      <c r="C133" s="29"/>
      <c r="D133" s="31" t="s">
        <v>32</v>
      </c>
      <c r="E133" s="42" t="s">
        <v>113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86</v>
      </c>
      <c r="L133" s="123">
        <v>18.21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54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55</v>
      </c>
      <c r="L134" s="123">
        <v>7.66</v>
      </c>
      <c r="M134" s="57"/>
    </row>
    <row r="135" spans="1:13" ht="31.5">
      <c r="A135" s="3"/>
      <c r="B135" s="4"/>
      <c r="C135" s="29"/>
      <c r="D135" s="30" t="s">
        <v>35</v>
      </c>
      <c r="E135" s="13" t="s">
        <v>36</v>
      </c>
      <c r="F135" s="107">
        <v>33</v>
      </c>
      <c r="G135" s="107">
        <f>SUM(F135*2.37/30)</f>
        <v>2.6070000000000002</v>
      </c>
      <c r="H135" s="107">
        <f>SUM(F135*0.3/30)</f>
        <v>0.33</v>
      </c>
      <c r="I135" s="107">
        <f>SUM(F135*14.49/30)</f>
        <v>15.939</v>
      </c>
      <c r="J135" s="107">
        <f>SUM(F135*70.14/30)</f>
        <v>77.153999999999996</v>
      </c>
      <c r="K135" s="12" t="s">
        <v>25</v>
      </c>
      <c r="L135" s="123">
        <v>3.51</v>
      </c>
      <c r="M135" s="57"/>
    </row>
    <row r="136" spans="1:13" ht="16.5" thickBot="1">
      <c r="A136" s="3"/>
      <c r="B136" s="4"/>
      <c r="C136" s="29"/>
      <c r="D136" s="30" t="s">
        <v>37</v>
      </c>
      <c r="E136" s="42" t="s">
        <v>128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39</v>
      </c>
      <c r="L136" s="126">
        <v>2.95</v>
      </c>
      <c r="M136" s="57"/>
    </row>
    <row r="137" spans="1:13" ht="32.25" thickBot="1">
      <c r="A137" s="3"/>
      <c r="B137" s="4"/>
      <c r="C137" s="29"/>
      <c r="D137" s="31"/>
      <c r="E137" s="118" t="s">
        <v>143</v>
      </c>
      <c r="F137" s="116">
        <v>28</v>
      </c>
      <c r="G137" s="116">
        <f>F137*3/100</f>
        <v>0.84</v>
      </c>
      <c r="H137" s="116">
        <f>F137*4.1/100</f>
        <v>1.1479999999999999</v>
      </c>
      <c r="I137" s="116">
        <f>F137*6.4/100</f>
        <v>1.7920000000000003</v>
      </c>
      <c r="J137" s="116">
        <f>F137*75/100</f>
        <v>21</v>
      </c>
      <c r="K137" s="82" t="s">
        <v>146</v>
      </c>
      <c r="L137" s="126">
        <v>22.53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23"/>
      <c r="M138" s="57"/>
    </row>
    <row r="139" spans="1:13" ht="15.75">
      <c r="A139" s="23"/>
      <c r="B139" s="24"/>
      <c r="C139" s="32"/>
      <c r="D139" s="33" t="s">
        <v>27</v>
      </c>
      <c r="E139" s="60"/>
      <c r="F139" s="69">
        <f>SUM(F132:F138)</f>
        <v>541</v>
      </c>
      <c r="G139" s="61">
        <f>SUM(G132:G138)-0.01</f>
        <v>25.546999999999997</v>
      </c>
      <c r="H139" s="61">
        <f>SUM(H132:H138)-0.01</f>
        <v>20.827999999999996</v>
      </c>
      <c r="I139" s="61">
        <f t="shared" ref="I139:J139" si="32">SUM(I132:I138)</f>
        <v>94.65100000000001</v>
      </c>
      <c r="J139" s="61">
        <f t="shared" si="32"/>
        <v>687.37400000000002</v>
      </c>
      <c r="K139" s="80"/>
      <c r="L139" s="124">
        <f>SUM(L132:L138)</f>
        <v>125.04000000000002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28</v>
      </c>
      <c r="D140" s="30" t="s">
        <v>29</v>
      </c>
      <c r="E140" s="62" t="s">
        <v>114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115</v>
      </c>
      <c r="L140" s="123">
        <v>8.2200000000000006</v>
      </c>
      <c r="M140" s="57"/>
    </row>
    <row r="141" spans="1:13" ht="31.5">
      <c r="A141" s="3"/>
      <c r="B141" s="4"/>
      <c r="C141" s="29"/>
      <c r="D141" s="30" t="s">
        <v>30</v>
      </c>
      <c r="E141" s="41" t="s">
        <v>156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23">
        <v>26.04</v>
      </c>
      <c r="M141" s="57"/>
    </row>
    <row r="142" spans="1:13" ht="15.75">
      <c r="A142" s="3"/>
      <c r="B142" s="4"/>
      <c r="C142" s="29"/>
      <c r="D142" s="30" t="s">
        <v>31</v>
      </c>
      <c r="E142" s="41" t="s">
        <v>66</v>
      </c>
      <c r="F142" s="105">
        <v>105</v>
      </c>
      <c r="G142" s="105">
        <f>F142*10.07/100</f>
        <v>10.573500000000001</v>
      </c>
      <c r="H142" s="105">
        <f>F142*7.08/100</f>
        <v>7.4340000000000002</v>
      </c>
      <c r="I142" s="105">
        <f>F142*9.05/100</f>
        <v>9.5025000000000013</v>
      </c>
      <c r="J142" s="105">
        <f>F142*140.77/100</f>
        <v>147.80850000000001</v>
      </c>
      <c r="K142" s="112" t="s">
        <v>116</v>
      </c>
      <c r="L142" s="123">
        <v>75.180000000000007</v>
      </c>
      <c r="M142" s="57"/>
    </row>
    <row r="143" spans="1:13" ht="15.75">
      <c r="A143" s="3"/>
      <c r="B143" s="4"/>
      <c r="C143" s="29"/>
      <c r="D143" s="30" t="s">
        <v>32</v>
      </c>
      <c r="E143" s="41" t="s">
        <v>51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117</v>
      </c>
      <c r="L143" s="123">
        <v>22.98</v>
      </c>
      <c r="M143" s="57"/>
    </row>
    <row r="144" spans="1:13" ht="15.75">
      <c r="A144" s="3"/>
      <c r="B144" s="4"/>
      <c r="C144" s="29"/>
      <c r="D144" s="30" t="s">
        <v>87</v>
      </c>
      <c r="E144" s="41" t="s">
        <v>149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118</v>
      </c>
      <c r="L144" s="123">
        <v>5.74</v>
      </c>
      <c r="M144" s="57"/>
    </row>
    <row r="145" spans="1:13" ht="31.5">
      <c r="A145" s="3"/>
      <c r="B145" s="4"/>
      <c r="C145" s="29"/>
      <c r="D145" s="30" t="s">
        <v>35</v>
      </c>
      <c r="E145" s="13" t="s">
        <v>36</v>
      </c>
      <c r="F145" s="107">
        <v>37</v>
      </c>
      <c r="G145" s="107">
        <f>SUM(F145*2.37/30)</f>
        <v>2.923</v>
      </c>
      <c r="H145" s="107">
        <f>SUM(F145*0.3/30)</f>
        <v>0.37</v>
      </c>
      <c r="I145" s="107">
        <f>SUM(F145*14.49/30)</f>
        <v>17.870999999999999</v>
      </c>
      <c r="J145" s="107">
        <f>SUM(F145*70.14/30)</f>
        <v>86.506</v>
      </c>
      <c r="K145" s="110" t="s">
        <v>25</v>
      </c>
      <c r="L145" s="123">
        <v>3.93</v>
      </c>
      <c r="M145" s="57"/>
    </row>
    <row r="146" spans="1:13" ht="15.75">
      <c r="A146" s="3"/>
      <c r="B146" s="4"/>
      <c r="C146" s="29"/>
      <c r="D146" s="30" t="s">
        <v>37</v>
      </c>
      <c r="E146" s="42" t="s">
        <v>128</v>
      </c>
      <c r="F146" s="107">
        <v>30</v>
      </c>
      <c r="G146" s="107">
        <f>SUM(F146*1.68/30)</f>
        <v>1.68</v>
      </c>
      <c r="H146" s="107">
        <f>SUM(F146*0.33/30)</f>
        <v>0.33</v>
      </c>
      <c r="I146" s="107">
        <f>SUM(F146*14.82/30)</f>
        <v>14.82</v>
      </c>
      <c r="J146" s="107">
        <f>SUM(F146*68.97/30)</f>
        <v>68.97</v>
      </c>
      <c r="K146" s="110" t="s">
        <v>39</v>
      </c>
      <c r="L146" s="123">
        <v>2.95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23"/>
      <c r="M147" s="57"/>
    </row>
    <row r="148" spans="1:13" ht="15.75">
      <c r="A148" s="97"/>
      <c r="B148" s="98"/>
      <c r="C148" s="99"/>
      <c r="D148" s="100" t="s">
        <v>27</v>
      </c>
      <c r="E148" s="101"/>
      <c r="F148" s="102">
        <f>SUM(F140:F147)</f>
        <v>782</v>
      </c>
      <c r="G148" s="102">
        <f>SUM(G140:G147)</f>
        <v>24.826500000000003</v>
      </c>
      <c r="H148" s="102">
        <f>SUM(H140:H147)</f>
        <v>26.073999999999998</v>
      </c>
      <c r="I148" s="102">
        <f>SUM(I140:I147)+0.01</f>
        <v>105.50349999999999</v>
      </c>
      <c r="J148" s="102">
        <f>SUM(J140:J147)+0.01</f>
        <v>758.25450000000001</v>
      </c>
      <c r="K148" s="103"/>
      <c r="L148" s="130">
        <f>SUM(L140:L147)+0.01</f>
        <v>145.04999999999998</v>
      </c>
      <c r="M148" s="57"/>
    </row>
    <row r="149" spans="1:13" ht="16.5" thickBot="1">
      <c r="A149" s="25">
        <f>A132</f>
        <v>2</v>
      </c>
      <c r="B149" s="26">
        <f>B132</f>
        <v>3</v>
      </c>
      <c r="C149" s="142" t="s">
        <v>38</v>
      </c>
      <c r="D149" s="143"/>
      <c r="E149" s="64"/>
      <c r="F149" s="66">
        <f>F139+F148</f>
        <v>1323</v>
      </c>
      <c r="G149" s="66">
        <f>G139+G148+0.01</f>
        <v>50.383499999999998</v>
      </c>
      <c r="H149" s="66">
        <f>H139+H148</f>
        <v>46.901999999999994</v>
      </c>
      <c r="I149" s="66">
        <f>I139+I148</f>
        <v>200.15449999999998</v>
      </c>
      <c r="J149" s="66">
        <f>J139+J148-0.01</f>
        <v>1445.6185</v>
      </c>
      <c r="K149" s="81"/>
      <c r="L149" s="125">
        <f>L139+L148</f>
        <v>270.09000000000003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32</v>
      </c>
      <c r="E150" s="41" t="s">
        <v>127</v>
      </c>
      <c r="F150" s="107">
        <v>160</v>
      </c>
      <c r="G150" s="107">
        <f>F150*3.25/150</f>
        <v>3.4666666666666668</v>
      </c>
      <c r="H150" s="107">
        <f>F150*2.8/150</f>
        <v>2.9866666666666668</v>
      </c>
      <c r="I150" s="107">
        <f>F150*11.9/150</f>
        <v>12.693333333333333</v>
      </c>
      <c r="J150" s="107">
        <f>F150*87/150</f>
        <v>92.8</v>
      </c>
      <c r="K150" s="110">
        <v>44533</v>
      </c>
      <c r="L150" s="123">
        <v>18.37</v>
      </c>
      <c r="M150" s="57"/>
    </row>
    <row r="151" spans="1:13" ht="31.5">
      <c r="A151" s="3"/>
      <c r="B151" s="4"/>
      <c r="C151" s="29"/>
      <c r="D151" s="30" t="s">
        <v>31</v>
      </c>
      <c r="E151" s="42" t="s">
        <v>88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135</v>
      </c>
      <c r="L151" s="123">
        <v>89.28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119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136</v>
      </c>
      <c r="L152" s="123">
        <v>8.75</v>
      </c>
      <c r="M152" s="57"/>
    </row>
    <row r="153" spans="1:13" ht="31.5">
      <c r="A153" s="3"/>
      <c r="B153" s="4"/>
      <c r="C153" s="29"/>
      <c r="D153" s="30" t="s">
        <v>35</v>
      </c>
      <c r="E153" s="13" t="s">
        <v>36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25</v>
      </c>
      <c r="L153" s="123">
        <v>5.32</v>
      </c>
      <c r="M153" s="57"/>
    </row>
    <row r="154" spans="1:13" ht="15.75">
      <c r="A154" s="3"/>
      <c r="B154" s="4"/>
      <c r="C154" s="29"/>
      <c r="D154" s="30" t="s">
        <v>37</v>
      </c>
      <c r="E154" s="13" t="s">
        <v>128</v>
      </c>
      <c r="F154" s="107">
        <v>34</v>
      </c>
      <c r="G154" s="107">
        <f>SUM(F154*1.68/30)</f>
        <v>1.9039999999999999</v>
      </c>
      <c r="H154" s="107">
        <f>SUM(F154*0.33/30)</f>
        <v>0.374</v>
      </c>
      <c r="I154" s="107">
        <f>SUM(F154*14.82/30)</f>
        <v>16.795999999999999</v>
      </c>
      <c r="J154" s="107">
        <f>SUM(F154*68.97/30)</f>
        <v>78.165999999999997</v>
      </c>
      <c r="K154" s="108" t="s">
        <v>39</v>
      </c>
      <c r="L154" s="123">
        <v>3.32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23"/>
      <c r="M155" s="57"/>
    </row>
    <row r="156" spans="1:13" ht="15.75">
      <c r="A156" s="23"/>
      <c r="B156" s="24"/>
      <c r="C156" s="32"/>
      <c r="D156" s="33" t="s">
        <v>27</v>
      </c>
      <c r="E156" s="60"/>
      <c r="F156" s="61">
        <f t="shared" ref="F156:J156" si="33">SUM(F150:F155)</f>
        <v>537</v>
      </c>
      <c r="G156" s="61">
        <f>SUM(G150:G155)</f>
        <v>21.617666666666668</v>
      </c>
      <c r="H156" s="61">
        <f t="shared" si="33"/>
        <v>16.422666666666668</v>
      </c>
      <c r="I156" s="61">
        <f>SUM(I150:I155)</f>
        <v>86.117333333333335</v>
      </c>
      <c r="J156" s="61">
        <f t="shared" si="33"/>
        <v>580.32400000000007</v>
      </c>
      <c r="K156" s="80"/>
      <c r="L156" s="124">
        <f>SUM(L150:L155)</f>
        <v>125.03999999999999</v>
      </c>
      <c r="M156" s="57"/>
    </row>
    <row r="157" spans="1:13" ht="31.5">
      <c r="A157" s="5">
        <v>2</v>
      </c>
      <c r="B157" s="6">
        <v>4</v>
      </c>
      <c r="C157" s="34" t="s">
        <v>28</v>
      </c>
      <c r="D157" s="30" t="s">
        <v>29</v>
      </c>
      <c r="E157" s="41" t="s">
        <v>147</v>
      </c>
      <c r="F157" s="105">
        <v>60</v>
      </c>
      <c r="G157" s="105">
        <f>F157*1.3/100</f>
        <v>0.78</v>
      </c>
      <c r="H157" s="105">
        <f>F157*6.1/100</f>
        <v>3.66</v>
      </c>
      <c r="I157" s="105">
        <f>F157*4.1/100</f>
        <v>2.4599999999999995</v>
      </c>
      <c r="J157" s="105">
        <f>F157*82/100</f>
        <v>49.2</v>
      </c>
      <c r="K157" s="109" t="s">
        <v>148</v>
      </c>
      <c r="L157" s="123">
        <v>28.39</v>
      </c>
      <c r="M157" s="57"/>
    </row>
    <row r="158" spans="1:13" ht="48" customHeight="1">
      <c r="A158" s="3"/>
      <c r="B158" s="4"/>
      <c r="C158" s="29"/>
      <c r="D158" s="30" t="s">
        <v>30</v>
      </c>
      <c r="E158" s="41" t="s">
        <v>139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59</v>
      </c>
      <c r="L158" s="123">
        <v>17.71</v>
      </c>
      <c r="M158" s="57"/>
    </row>
    <row r="159" spans="1:13" ht="31.5">
      <c r="A159" s="3"/>
      <c r="B159" s="4"/>
      <c r="C159" s="29"/>
      <c r="D159" s="30" t="s">
        <v>31</v>
      </c>
      <c r="E159" s="41" t="s">
        <v>43</v>
      </c>
      <c r="F159" s="107">
        <v>90</v>
      </c>
      <c r="G159" s="107">
        <f>F159*17.19/90</f>
        <v>17.190000000000001</v>
      </c>
      <c r="H159" s="107">
        <f>F159*14.31/90</f>
        <v>14.31</v>
      </c>
      <c r="I159" s="107">
        <f>F159*0.18/90</f>
        <v>0.18</v>
      </c>
      <c r="J159" s="107">
        <f>F159*198/90</f>
        <v>198</v>
      </c>
      <c r="K159" s="109">
        <v>4232</v>
      </c>
      <c r="L159" s="123">
        <v>64.61</v>
      </c>
      <c r="M159" s="57"/>
    </row>
    <row r="160" spans="1:13" ht="15.75">
      <c r="A160" s="3"/>
      <c r="B160" s="4"/>
      <c r="C160" s="29"/>
      <c r="D160" s="30" t="s">
        <v>32</v>
      </c>
      <c r="E160" s="42" t="s">
        <v>120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122</v>
      </c>
      <c r="L160" s="123">
        <v>15.61</v>
      </c>
      <c r="M160" s="57"/>
    </row>
    <row r="161" spans="1:13" ht="15.75">
      <c r="A161" s="3"/>
      <c r="B161" s="4"/>
      <c r="C161" s="29"/>
      <c r="D161" s="30" t="s">
        <v>87</v>
      </c>
      <c r="E161" s="41" t="s">
        <v>121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123</v>
      </c>
      <c r="L161" s="123">
        <v>12.49</v>
      </c>
      <c r="M161" s="57"/>
    </row>
    <row r="162" spans="1:13" ht="31.5">
      <c r="A162" s="3"/>
      <c r="B162" s="4"/>
      <c r="C162" s="29"/>
      <c r="D162" s="30" t="s">
        <v>35</v>
      </c>
      <c r="E162" s="13" t="s">
        <v>36</v>
      </c>
      <c r="F162" s="107">
        <v>31</v>
      </c>
      <c r="G162" s="107">
        <f>SUM(F162*2.37/30)</f>
        <v>2.4489999999999998</v>
      </c>
      <c r="H162" s="107">
        <f>SUM(F162*0.3/30)</f>
        <v>0.30999999999999994</v>
      </c>
      <c r="I162" s="107">
        <f>SUM(F162*14.49/30)</f>
        <v>14.973000000000001</v>
      </c>
      <c r="J162" s="107">
        <f>SUM(F162*70.14/30)</f>
        <v>72.478000000000009</v>
      </c>
      <c r="K162" s="109" t="s">
        <v>25</v>
      </c>
      <c r="L162" s="123">
        <v>3.3</v>
      </c>
      <c r="M162" s="57"/>
    </row>
    <row r="163" spans="1:13" ht="15.75">
      <c r="A163" s="3"/>
      <c r="B163" s="4"/>
      <c r="C163" s="29"/>
      <c r="D163" s="30" t="s">
        <v>37</v>
      </c>
      <c r="E163" s="42" t="s">
        <v>128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39</v>
      </c>
      <c r="L163" s="123">
        <v>2.95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23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23"/>
      <c r="M165" s="57"/>
    </row>
    <row r="166" spans="1:13" ht="15.75">
      <c r="A166" s="23"/>
      <c r="B166" s="24"/>
      <c r="C166" s="32"/>
      <c r="D166" s="33" t="s">
        <v>27</v>
      </c>
      <c r="E166" s="60"/>
      <c r="F166" s="61">
        <f>SUM(F157:F165)</f>
        <v>761</v>
      </c>
      <c r="G166" s="61">
        <f t="shared" ref="G166:J166" si="34">SUM(G157:G165)</f>
        <v>30.298999999999999</v>
      </c>
      <c r="H166" s="61">
        <f t="shared" si="34"/>
        <v>28.109999999999996</v>
      </c>
      <c r="I166" s="61">
        <f>SUM(I157:I165)</f>
        <v>115.53300000000002</v>
      </c>
      <c r="J166" s="61">
        <f t="shared" si="34"/>
        <v>841.048</v>
      </c>
      <c r="K166" s="80"/>
      <c r="L166" s="124">
        <f>SUM(L157:L165)-0.01</f>
        <v>145.05000000000001</v>
      </c>
      <c r="M166" s="57"/>
    </row>
    <row r="167" spans="1:13" ht="16.5" thickBot="1">
      <c r="A167" s="25">
        <v>2</v>
      </c>
      <c r="B167" s="26">
        <v>4</v>
      </c>
      <c r="C167" s="142" t="s">
        <v>38</v>
      </c>
      <c r="D167" s="143"/>
      <c r="E167" s="64"/>
      <c r="F167" s="66">
        <f>F156+F166</f>
        <v>1298</v>
      </c>
      <c r="G167" s="66">
        <f>G156+G166-0.01</f>
        <v>51.906666666666673</v>
      </c>
      <c r="H167" s="66">
        <f>H156+H166</f>
        <v>44.532666666666664</v>
      </c>
      <c r="I167" s="66">
        <f t="shared" ref="I167" si="35">I156+I166</f>
        <v>201.65033333333335</v>
      </c>
      <c r="J167" s="66">
        <f t="shared" ref="J167:L167" si="36">J156+J166</f>
        <v>1421.3720000000001</v>
      </c>
      <c r="K167" s="81"/>
      <c r="L167" s="125">
        <f t="shared" si="36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31</v>
      </c>
      <c r="E168" s="41" t="s">
        <v>64</v>
      </c>
      <c r="F168" s="105">
        <v>91</v>
      </c>
      <c r="G168" s="105">
        <f>F168*8.73/90</f>
        <v>8.827</v>
      </c>
      <c r="H168" s="105">
        <f>F168*12.42/90</f>
        <v>12.558</v>
      </c>
      <c r="I168" s="105">
        <f>F168*1.53/90</f>
        <v>1.5469999999999999</v>
      </c>
      <c r="J168" s="105">
        <f>F168*152.82/90</f>
        <v>154.518</v>
      </c>
      <c r="K168" s="110" t="s">
        <v>124</v>
      </c>
      <c r="L168" s="129">
        <v>63.72</v>
      </c>
      <c r="M168" s="57"/>
    </row>
    <row r="169" spans="1:13" ht="15.75">
      <c r="A169" s="3"/>
      <c r="B169" s="4"/>
      <c r="C169" s="29"/>
      <c r="D169" s="31" t="s">
        <v>32</v>
      </c>
      <c r="E169" s="13" t="s">
        <v>33</v>
      </c>
      <c r="F169" s="104">
        <v>154</v>
      </c>
      <c r="G169" s="107">
        <f>F169*5.33/150-0.01</f>
        <v>5.462133333333334</v>
      </c>
      <c r="H169" s="107">
        <f>F169*3/150</f>
        <v>3.08</v>
      </c>
      <c r="I169" s="107">
        <f>F169*32.4/150</f>
        <v>33.263999999999996</v>
      </c>
      <c r="J169" s="107">
        <f>F169*177.75/150</f>
        <v>182.49</v>
      </c>
      <c r="K169" s="108" t="s">
        <v>68</v>
      </c>
      <c r="L169" s="129">
        <v>9.77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41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42</v>
      </c>
      <c r="L170" s="129">
        <v>12.54</v>
      </c>
      <c r="M170" s="57"/>
    </row>
    <row r="171" spans="1:13" ht="15.75">
      <c r="A171" s="3"/>
      <c r="B171" s="4"/>
      <c r="C171" s="29"/>
      <c r="D171" s="30" t="s">
        <v>35</v>
      </c>
      <c r="E171" s="42" t="s">
        <v>26</v>
      </c>
      <c r="F171" s="104">
        <v>50</v>
      </c>
      <c r="G171" s="104">
        <f>F171*6.1/50</f>
        <v>6.1</v>
      </c>
      <c r="H171" s="104">
        <f>F171*3.7/50</f>
        <v>3.7</v>
      </c>
      <c r="I171" s="104">
        <f>17.5*F171/50</f>
        <v>17.5</v>
      </c>
      <c r="J171" s="104">
        <f>F171*127.7/50</f>
        <v>127.7</v>
      </c>
      <c r="K171" s="108" t="s">
        <v>91</v>
      </c>
      <c r="L171" s="129">
        <v>34.090000000000003</v>
      </c>
      <c r="M171" s="57"/>
    </row>
    <row r="172" spans="1:13" ht="15.75">
      <c r="A172" s="3"/>
      <c r="B172" s="4"/>
      <c r="C172" s="29"/>
      <c r="D172" s="30" t="s">
        <v>37</v>
      </c>
      <c r="E172" s="13" t="s">
        <v>128</v>
      </c>
      <c r="F172" s="107">
        <v>50</v>
      </c>
      <c r="G172" s="107">
        <f>SUM(F172*2.8/50)</f>
        <v>2.8</v>
      </c>
      <c r="H172" s="107">
        <f>SUM(F172*0.55/50)</f>
        <v>0.55000000000000004</v>
      </c>
      <c r="I172" s="107">
        <f>SUM(F172*24.7/50)</f>
        <v>24.7</v>
      </c>
      <c r="J172" s="107">
        <f>SUM(F172*114.95/50)</f>
        <v>114.95</v>
      </c>
      <c r="K172" s="110" t="s">
        <v>39</v>
      </c>
      <c r="L172" s="126">
        <v>4.92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23"/>
      <c r="M173" s="57"/>
    </row>
    <row r="174" spans="1:13" ht="15.75">
      <c r="A174" s="23"/>
      <c r="B174" s="24"/>
      <c r="C174" s="32"/>
      <c r="D174" s="33" t="s">
        <v>27</v>
      </c>
      <c r="E174" s="60"/>
      <c r="F174" s="61">
        <f>SUM(F168:F173)</f>
        <v>545</v>
      </c>
      <c r="G174" s="61">
        <f>SUM(G168:G173)</f>
        <v>23.189133333333334</v>
      </c>
      <c r="H174" s="61">
        <f>SUM(H168:H173)</f>
        <v>19.888000000000002</v>
      </c>
      <c r="I174" s="61">
        <f>SUM(I168:I173)</f>
        <v>89.010999999999996</v>
      </c>
      <c r="J174" s="61">
        <f>SUM(J168:J173)</f>
        <v>627.65800000000013</v>
      </c>
      <c r="K174" s="80"/>
      <c r="L174" s="124">
        <f>SUM(L168:L173)</f>
        <v>125.04</v>
      </c>
      <c r="M174" s="57"/>
    </row>
    <row r="175" spans="1:13" ht="47.25">
      <c r="A175" s="5">
        <v>2</v>
      </c>
      <c r="B175" s="6">
        <v>5</v>
      </c>
      <c r="C175" s="34" t="s">
        <v>28</v>
      </c>
      <c r="D175" s="30" t="s">
        <v>29</v>
      </c>
      <c r="E175" s="41" t="s">
        <v>125</v>
      </c>
      <c r="F175" s="105">
        <v>60</v>
      </c>
      <c r="G175" s="105">
        <f>F175*2.16/60</f>
        <v>2.1600000000000006</v>
      </c>
      <c r="H175" s="105">
        <f>F175*4.5/60</f>
        <v>4.5</v>
      </c>
      <c r="I175" s="105">
        <f>F175*9.9/60</f>
        <v>9.9</v>
      </c>
      <c r="J175" s="105">
        <f>F175*88.8/60</f>
        <v>88.8</v>
      </c>
      <c r="K175" s="112" t="s">
        <v>126</v>
      </c>
      <c r="L175" s="123">
        <v>10.25</v>
      </c>
      <c r="M175" s="57"/>
    </row>
    <row r="176" spans="1:13" ht="31.5">
      <c r="A176" s="3"/>
      <c r="B176" s="4"/>
      <c r="C176" s="34"/>
      <c r="D176" s="30" t="s">
        <v>30</v>
      </c>
      <c r="E176" s="14" t="s">
        <v>159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69</v>
      </c>
      <c r="L176" s="123">
        <v>24.3</v>
      </c>
      <c r="M176" s="57"/>
    </row>
    <row r="177" spans="1:13" ht="15.75">
      <c r="A177" s="3"/>
      <c r="B177" s="4"/>
      <c r="C177" s="29"/>
      <c r="D177" s="30" t="s">
        <v>31</v>
      </c>
      <c r="E177" s="13" t="s">
        <v>70</v>
      </c>
      <c r="F177" s="104">
        <v>105</v>
      </c>
      <c r="G177" s="107">
        <f>F177*11.7/90</f>
        <v>13.65</v>
      </c>
      <c r="H177" s="107">
        <f>F177*11.61/90</f>
        <v>13.545</v>
      </c>
      <c r="I177" s="107">
        <f>F177*5.76/90</f>
        <v>6.72</v>
      </c>
      <c r="J177" s="107">
        <f>F177*174.6/90</f>
        <v>203.7</v>
      </c>
      <c r="K177" s="114" t="s">
        <v>79</v>
      </c>
      <c r="L177" s="123">
        <v>83.75</v>
      </c>
      <c r="M177" s="57"/>
    </row>
    <row r="178" spans="1:13" ht="15.75">
      <c r="A178" s="3"/>
      <c r="B178" s="4"/>
      <c r="C178" s="29"/>
      <c r="D178" s="30" t="s">
        <v>32</v>
      </c>
      <c r="E178" s="14" t="s">
        <v>71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72</v>
      </c>
      <c r="L178" s="123">
        <v>13.81</v>
      </c>
      <c r="M178" s="57"/>
    </row>
    <row r="179" spans="1:13" ht="15.75">
      <c r="A179" s="3"/>
      <c r="B179" s="4"/>
      <c r="C179" s="29"/>
      <c r="D179" s="30" t="s">
        <v>87</v>
      </c>
      <c r="E179" s="13" t="s">
        <v>44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73</v>
      </c>
      <c r="L179" s="123">
        <v>6.62</v>
      </c>
      <c r="M179" s="57"/>
    </row>
    <row r="180" spans="1:13" ht="31.5">
      <c r="A180" s="3"/>
      <c r="B180" s="4"/>
      <c r="C180" s="29"/>
      <c r="D180" s="30" t="s">
        <v>35</v>
      </c>
      <c r="E180" s="13" t="s">
        <v>36</v>
      </c>
      <c r="F180" s="107">
        <v>30</v>
      </c>
      <c r="G180" s="107">
        <f>SUM(F180*2.37/30)</f>
        <v>2.37</v>
      </c>
      <c r="H180" s="107">
        <f>SUM(F180*0.3/30)</f>
        <v>0.3</v>
      </c>
      <c r="I180" s="107">
        <f>SUM(F180*14.49/30)</f>
        <v>14.49</v>
      </c>
      <c r="J180" s="107">
        <f>SUM(F180*70.14/30)</f>
        <v>70.14</v>
      </c>
      <c r="K180" s="110" t="s">
        <v>25</v>
      </c>
      <c r="L180" s="123">
        <v>3.19</v>
      </c>
      <c r="M180" s="57"/>
    </row>
    <row r="181" spans="1:13" ht="15.75">
      <c r="A181" s="3"/>
      <c r="B181" s="4"/>
      <c r="C181" s="29"/>
      <c r="D181" s="30" t="s">
        <v>37</v>
      </c>
      <c r="E181" s="13" t="s">
        <v>128</v>
      </c>
      <c r="F181" s="107">
        <v>32</v>
      </c>
      <c r="G181" s="107">
        <f>SUM(F181*1.68/30)</f>
        <v>1.792</v>
      </c>
      <c r="H181" s="107">
        <f>SUM(F181*0.33/30)</f>
        <v>0.35200000000000004</v>
      </c>
      <c r="I181" s="107">
        <f>SUM(F181*14.82/30)</f>
        <v>15.808</v>
      </c>
      <c r="J181" s="107">
        <f>SUM(F181*68.97/30)</f>
        <v>73.567999999999998</v>
      </c>
      <c r="K181" s="110" t="s">
        <v>39</v>
      </c>
      <c r="L181" s="123">
        <v>3.12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23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23"/>
      <c r="M183" s="57"/>
    </row>
    <row r="184" spans="1:13" ht="15.75">
      <c r="A184" s="23"/>
      <c r="B184" s="24"/>
      <c r="C184" s="32"/>
      <c r="D184" s="33" t="s">
        <v>27</v>
      </c>
      <c r="E184" s="60"/>
      <c r="F184" s="61">
        <f>SUM(F175:F183)</f>
        <v>777</v>
      </c>
      <c r="G184" s="61">
        <f>SUM(G175:G183)-0.01</f>
        <v>27.202000000000002</v>
      </c>
      <c r="H184" s="61">
        <f>SUM(H175:H183)-0.01</f>
        <v>29.177</v>
      </c>
      <c r="I184" s="61">
        <f>SUM(I175:I183)</f>
        <v>102.50799999999998</v>
      </c>
      <c r="J184" s="61">
        <f>SUM(J175:J183)</f>
        <v>781.80799999999988</v>
      </c>
      <c r="K184" s="80"/>
      <c r="L184" s="124">
        <f>SUM(L175:L183)+0.01</f>
        <v>145.04999999999998</v>
      </c>
      <c r="M184" s="57"/>
    </row>
    <row r="185" spans="1:13" ht="16.5" thickBot="1">
      <c r="A185" s="70">
        <v>2</v>
      </c>
      <c r="B185" s="71">
        <v>5</v>
      </c>
      <c r="C185" s="144" t="s">
        <v>38</v>
      </c>
      <c r="D185" s="145"/>
      <c r="E185" s="64"/>
      <c r="F185" s="66">
        <f>F174+F184</f>
        <v>1322</v>
      </c>
      <c r="G185" s="66">
        <f>G174+G184+0.01</f>
        <v>50.401133333333334</v>
      </c>
      <c r="H185" s="66">
        <f>H174+H184</f>
        <v>49.064999999999998</v>
      </c>
      <c r="I185" s="66">
        <f>I174+I184</f>
        <v>191.51899999999998</v>
      </c>
      <c r="J185" s="66">
        <f>J174+J184</f>
        <v>1409.4659999999999</v>
      </c>
      <c r="K185" s="81"/>
      <c r="L185" s="125">
        <f>L174+L184</f>
        <v>270.08999999999997</v>
      </c>
      <c r="M185" s="57"/>
    </row>
    <row r="186" spans="1:13" ht="16.5" thickBot="1">
      <c r="A186" s="72"/>
      <c r="B186" s="73"/>
      <c r="C186" s="146" t="s">
        <v>74</v>
      </c>
      <c r="D186" s="146"/>
      <c r="E186" s="146"/>
      <c r="F186" s="96">
        <f>(F23+F40+F59+F78+F96+F113+F131+F149+F167+F185)/(IF(F23=0,0,1)+IF(F40=0,0,1)+IF(F59=0,0,1)+IF(F78=0,0,1)+IF(F96=0,0,1)+IF(F113=0,0,1)+IF(F131=0,0,1)+IF(F149=0,0,1)+IF(F167=0,0,1)+IF(F185=0,0,1))</f>
        <v>1322.7</v>
      </c>
      <c r="G186" s="96">
        <f>(G23+G40+G59+G78+G96+G113+G131+G149+G167+G185)/(IF(G23=0,0,1)+IF(G40=0,0,1)+IF(G59=0,0,1)+IF(G78=0,0,1)+IF(G96=0,0,1)+IF(G113=0,0,1)+IF(G131=0,0,1)+IF(G149=0,0,1)+IF(G167=0,0,1)+IF(G185=0,0,1))</f>
        <v>54.150130000000011</v>
      </c>
      <c r="H186" s="96">
        <f>(H23+H40+H59+H78+H96+H113+H131+H149+H167+H185)/(IF(H23=0,0,1)+IF(H40=0,0,1)+IF(H59=0,0,1)+IF(H78=0,0,1)+IF(H96=0,0,1)+IF(H113=0,0,1)+IF(H131=0,0,1)+IF(H149=0,0,1)+IF(H167=0,0,1)+IF(H185=0,0,1))</f>
        <v>51.268066666666662</v>
      </c>
      <c r="I186" s="96">
        <f>(I23+I40+I59+I78+I96+I113+I131+I149+I167+I185)/(IF(I23=0,0,1)+IF(I40=0,0,1)+IF(I59=0,0,1)+IF(I78=0,0,1)+IF(I96=0,0,1)+IF(I113=0,0,1)+IF(I131=0,0,1)+IF(I149=0,0,1)+IF(I167=0,0,1)+IF(I185=0,0,1))</f>
        <v>197.28338333333335</v>
      </c>
      <c r="J186" s="96">
        <f>(J23+J40+J59+J78+J96+J113+J131+J149+J167+J185)/(IF(J23=0,0,1)+IF(J40=0,0,1)+IF(J59=0,0,1)+IF(J78=0,0,1)+IF(J96=0,0,1)+IF(J113=0,0,1)+IF(J131=0,0,1)+IF(J149=0,0,1)+IF(J167=0,0,1)+IF(J185=0,0,1))</f>
        <v>1474.64615</v>
      </c>
      <c r="K186" s="83"/>
      <c r="L186" s="131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32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32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32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32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32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32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32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32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32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32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33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34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34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33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33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33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33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33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33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33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33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33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33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33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33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35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35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35"/>
      <c r="M214" s="77"/>
    </row>
  </sheetData>
  <mergeCells count="15">
    <mergeCell ref="C1:E1"/>
    <mergeCell ref="H1:K1"/>
    <mergeCell ref="H2:K2"/>
    <mergeCell ref="C23:D23"/>
    <mergeCell ref="C40:D40"/>
    <mergeCell ref="A2:F2"/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" unlockedFormula="1"/>
    <ignoredError sqref="K15 K13 K24 K26 K68 K80 K160:K161 K168 K179 K1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2026-01-21T09:53:52Z</cp:lastPrinted>
  <dcterms:created xsi:type="dcterms:W3CDTF">2022-05-16T14:23:00Z</dcterms:created>
  <dcterms:modified xsi:type="dcterms:W3CDTF">2026-02-19T09:04:50Z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